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X:\COMPRAS\2022\PROCESSOS\PROC 015211 - SERVIÇO DE REFORMA E MANUTENÇÃO DA SERJ\"/>
    </mc:Choice>
  </mc:AlternateContent>
  <bookViews>
    <workbookView xWindow="0" yWindow="0" windowWidth="38400" windowHeight="17730" tabRatio="597" activeTab="2"/>
  </bookViews>
  <sheets>
    <sheet name="RESUMO" sheetId="10" r:id="rId1"/>
    <sheet name="ORÇAMENTO" sheetId="1" r:id="rId2"/>
    <sheet name="CURVA ABC" sheetId="27" r:id="rId3"/>
    <sheet name="ADICIONAL NOTURNO" sheetId="15" r:id="rId4"/>
    <sheet name="CRONOGRAMA FISICO FINANCEIRO" sheetId="2" r:id="rId5"/>
    <sheet name="BDI " sheetId="3" r:id="rId6"/>
    <sheet name="BDIEQUIP." sheetId="11" r:id="rId7"/>
    <sheet name="CPUE" sheetId="8" r:id="rId8"/>
    <sheet name="CPU SINAPI ND OBRA" sheetId="14" r:id="rId9"/>
    <sheet name="COMPOSIÇÃO DE ENCARGOS SOCIAIS" sheetId="16" r:id="rId10"/>
  </sheets>
  <externalReferences>
    <externalReference r:id="rId11"/>
    <externalReference r:id="rId12"/>
    <externalReference r:id="rId13"/>
    <externalReference r:id="rId14"/>
  </externalReferences>
  <definedNames>
    <definedName name="\i" localSheetId="9">#REF!</definedName>
    <definedName name="\i">#REF!</definedName>
    <definedName name="\l">#REF!</definedName>
    <definedName name="\s">#REF!</definedName>
    <definedName name="\t">#REF!</definedName>
    <definedName name="_A1">#REF!</definedName>
    <definedName name="_cab1">#REF!</definedName>
    <definedName name="_COM010201">#REF!</definedName>
    <definedName name="_COM010202">#REF!</definedName>
    <definedName name="_COM010205">#REF!</definedName>
    <definedName name="_COM010206">#REF!</definedName>
    <definedName name="_COM010210">#REF!</definedName>
    <definedName name="_COM010301">#REF!</definedName>
    <definedName name="_COM010401">#REF!</definedName>
    <definedName name="_COM010402">#REF!</definedName>
    <definedName name="_COM010407">#REF!</definedName>
    <definedName name="_COM010413">#REF!</definedName>
    <definedName name="_COM010501">#REF!</definedName>
    <definedName name="_COM010503">#REF!</definedName>
    <definedName name="_COM010505">#REF!</definedName>
    <definedName name="_COM010509">#REF!</definedName>
    <definedName name="_COM010512">#REF!</definedName>
    <definedName name="_COM010518">#REF!</definedName>
    <definedName name="_COM010519">#REF!</definedName>
    <definedName name="_COM010521">#REF!</definedName>
    <definedName name="_COM010523">#REF!</definedName>
    <definedName name="_COM010532">#REF!</definedName>
    <definedName name="_COM010533">#REF!</definedName>
    <definedName name="_COM010536">#REF!</definedName>
    <definedName name="_COM010701">#REF!</definedName>
    <definedName name="_COM010703">#REF!</definedName>
    <definedName name="_COM010705">#REF!</definedName>
    <definedName name="_COM010708">#REF!</definedName>
    <definedName name="_COM010710">#REF!</definedName>
    <definedName name="_COM010712">#REF!</definedName>
    <definedName name="_COM010717">#REF!</definedName>
    <definedName name="_COM010718">#REF!</definedName>
    <definedName name="_COM020201">#REF!</definedName>
    <definedName name="_COM020205">#REF!</definedName>
    <definedName name="_COM020211">#REF!</definedName>
    <definedName name="_COM020217">#REF!</definedName>
    <definedName name="_COM030102">#REF!</definedName>
    <definedName name="_COM030201">#REF!</definedName>
    <definedName name="_COM030303">#REF!</definedName>
    <definedName name="_COM030317">#REF!</definedName>
    <definedName name="_COM040101">#REF!</definedName>
    <definedName name="_COM040202">#REF!</definedName>
    <definedName name="_COM050103">#REF!</definedName>
    <definedName name="_COM050207">#REF!</definedName>
    <definedName name="_COM060101">#REF!</definedName>
    <definedName name="_COM080101">#REF!</definedName>
    <definedName name="_COM080310">#REF!</definedName>
    <definedName name="_COM090101">#REF!</definedName>
    <definedName name="_COM100302">#REF!</definedName>
    <definedName name="_COM110101">#REF!</definedName>
    <definedName name="_COM110104">#REF!</definedName>
    <definedName name="_COM110107">#REF!</definedName>
    <definedName name="_COM120101">#REF!</definedName>
    <definedName name="_COM120105">#REF!</definedName>
    <definedName name="_COM120106">#REF!</definedName>
    <definedName name="_COM120107">#REF!</definedName>
    <definedName name="_COM120110">#REF!</definedName>
    <definedName name="_COM120150">#REF!</definedName>
    <definedName name="_COM130101">#REF!</definedName>
    <definedName name="_COM130103">#REF!</definedName>
    <definedName name="_COM130304">#REF!</definedName>
    <definedName name="_COM130401">#REF!</definedName>
    <definedName name="_COM140102">#REF!</definedName>
    <definedName name="_COM140109">#REF!</definedName>
    <definedName name="_COM140113">#REF!</definedName>
    <definedName name="_COM140122">#REF!</definedName>
    <definedName name="_COM140126">#REF!</definedName>
    <definedName name="_COM140129">#REF!</definedName>
    <definedName name="_COM140135">#REF!</definedName>
    <definedName name="_COM140143">#REF!</definedName>
    <definedName name="_COM140145">#REF!</definedName>
    <definedName name="_COM150130">#REF!</definedName>
    <definedName name="_COM170101">#REF!</definedName>
    <definedName name="_COM170102">#REF!</definedName>
    <definedName name="_COM170103">#REF!</definedName>
    <definedName name="_xlnm._FilterDatabase" localSheetId="2" hidden="1">'CURVA ABC'!$B$1:$L$1</definedName>
    <definedName name="_GLB2">#REF!</definedName>
    <definedName name="_i3">#REF!</definedName>
    <definedName name="_MAO010201">#REF!</definedName>
    <definedName name="_MAO010202">#REF!</definedName>
    <definedName name="_MAO010205">#REF!</definedName>
    <definedName name="_MAO010206">#REF!</definedName>
    <definedName name="_MAO010210">#REF!</definedName>
    <definedName name="_MAO010401">#REF!</definedName>
    <definedName name="_MAO010402">#REF!</definedName>
    <definedName name="_MAO010407">#REF!</definedName>
    <definedName name="_MAO010413">#REF!</definedName>
    <definedName name="_MAO010501">#REF!</definedName>
    <definedName name="_MAO010503">#REF!</definedName>
    <definedName name="_MAO010505">#REF!</definedName>
    <definedName name="_MAO010509">#REF!</definedName>
    <definedName name="_MAO010512">#REF!</definedName>
    <definedName name="_MAO010518">#REF!</definedName>
    <definedName name="_MAO010519">#REF!</definedName>
    <definedName name="_MAO010521">#REF!</definedName>
    <definedName name="_MAO010523">#REF!</definedName>
    <definedName name="_MAO010532">#REF!</definedName>
    <definedName name="_MAO010533">#REF!</definedName>
    <definedName name="_MAO010536">#REF!</definedName>
    <definedName name="_MAO010701">#REF!</definedName>
    <definedName name="_MAO010703">#REF!</definedName>
    <definedName name="_MAO010705">#REF!</definedName>
    <definedName name="_MAO010708">#REF!</definedName>
    <definedName name="_MAO010710">#REF!</definedName>
    <definedName name="_MAO010712">#REF!</definedName>
    <definedName name="_MAO010717">#REF!</definedName>
    <definedName name="_MAO020201">#REF!</definedName>
    <definedName name="_MAO020205">#REF!</definedName>
    <definedName name="_MAO020211">#REF!</definedName>
    <definedName name="_MAO020217">#REF!</definedName>
    <definedName name="_MAO030102">#REF!</definedName>
    <definedName name="_MAO030201">#REF!</definedName>
    <definedName name="_MAO030303">#REF!</definedName>
    <definedName name="_MAO030317">#REF!</definedName>
    <definedName name="_MAO040101">#REF!</definedName>
    <definedName name="_MAO040202">#REF!</definedName>
    <definedName name="_MAO050103">#REF!</definedName>
    <definedName name="_MAO050207">#REF!</definedName>
    <definedName name="_MAO060101">#REF!</definedName>
    <definedName name="_MAO080310">#REF!</definedName>
    <definedName name="_MAO090101">#REF!</definedName>
    <definedName name="_MAO110101">#REF!</definedName>
    <definedName name="_MAO110104">#REF!</definedName>
    <definedName name="_MAO110107">#REF!</definedName>
    <definedName name="_MAO120101">#REF!</definedName>
    <definedName name="_MAO120105">#REF!</definedName>
    <definedName name="_MAO120106">#REF!</definedName>
    <definedName name="_MAO120107">#REF!</definedName>
    <definedName name="_MAO120110">#REF!</definedName>
    <definedName name="_MAO120150">#REF!</definedName>
    <definedName name="_MAO130101">#REF!</definedName>
    <definedName name="_MAO130103">#REF!</definedName>
    <definedName name="_MAO130304">#REF!</definedName>
    <definedName name="_MAO130401">#REF!</definedName>
    <definedName name="_MAO140102">#REF!</definedName>
    <definedName name="_MAO140109">#REF!</definedName>
    <definedName name="_MAO140113">#REF!</definedName>
    <definedName name="_MAO140122">#REF!</definedName>
    <definedName name="_MAO140126">#REF!</definedName>
    <definedName name="_MAO140129">#REF!</definedName>
    <definedName name="_MAO140135">#REF!</definedName>
    <definedName name="_MAO140143">#REF!</definedName>
    <definedName name="_MAO140145">#REF!</definedName>
    <definedName name="_MAT010301">#REF!</definedName>
    <definedName name="_MAT010401">#REF!</definedName>
    <definedName name="_MAT010402">#REF!</definedName>
    <definedName name="_MAT010407">#REF!</definedName>
    <definedName name="_MAT010413">#REF!</definedName>
    <definedName name="_MAT010536">#REF!</definedName>
    <definedName name="_MAT010703">#REF!</definedName>
    <definedName name="_MAT010708">#REF!</definedName>
    <definedName name="_MAT010710">#REF!</definedName>
    <definedName name="_MAT010718">#REF!</definedName>
    <definedName name="_MAT020201">#REF!</definedName>
    <definedName name="_MAT020205">#REF!</definedName>
    <definedName name="_MAT020211">#REF!</definedName>
    <definedName name="_MAT030102">#REF!</definedName>
    <definedName name="_MAT030201">#REF!</definedName>
    <definedName name="_MAT030303">#REF!</definedName>
    <definedName name="_MAT030317">#REF!</definedName>
    <definedName name="_MAT040101">#REF!</definedName>
    <definedName name="_MAT040202">#REF!</definedName>
    <definedName name="_MAT050103">#REF!</definedName>
    <definedName name="_MAT050207">#REF!</definedName>
    <definedName name="_MAT060101">#REF!</definedName>
    <definedName name="_MAT080101">#REF!</definedName>
    <definedName name="_MAT080310">#REF!</definedName>
    <definedName name="_MAT090101">#REF!</definedName>
    <definedName name="_MAT100302">#REF!</definedName>
    <definedName name="_MAT110101">#REF!</definedName>
    <definedName name="_MAT110104">#REF!</definedName>
    <definedName name="_MAT110107">#REF!</definedName>
    <definedName name="_MAT120101">#REF!</definedName>
    <definedName name="_MAT120105">#REF!</definedName>
    <definedName name="_MAT120106">#REF!</definedName>
    <definedName name="_MAT120107">#REF!</definedName>
    <definedName name="_MAT120110">#REF!</definedName>
    <definedName name="_MAT120150">#REF!</definedName>
    <definedName name="_MAT130101">#REF!</definedName>
    <definedName name="_MAT130103">#REF!</definedName>
    <definedName name="_MAT130304">#REF!</definedName>
    <definedName name="_MAT130401">#REF!</definedName>
    <definedName name="_MAT140102">#REF!</definedName>
    <definedName name="_MAT140109">#REF!</definedName>
    <definedName name="_MAT140113">#REF!</definedName>
    <definedName name="_MAT140122">#REF!</definedName>
    <definedName name="_MAT140126">#REF!</definedName>
    <definedName name="_MAT140129">#REF!</definedName>
    <definedName name="_MAT140135">#REF!</definedName>
    <definedName name="_MAT140143">#REF!</definedName>
    <definedName name="_MAT140145">#REF!</definedName>
    <definedName name="_MAT150130">#REF!</definedName>
    <definedName name="_MAT170101">#REF!</definedName>
    <definedName name="_MAT170102">#REF!</definedName>
    <definedName name="_MAT170103">#REF!</definedName>
    <definedName name="_PRE010201">#REF!</definedName>
    <definedName name="_PRE010202">#REF!</definedName>
    <definedName name="_PRE010205">#REF!</definedName>
    <definedName name="_PRE010206">#REF!</definedName>
    <definedName name="_PRE010210">#REF!</definedName>
    <definedName name="_PRE010301">#REF!</definedName>
    <definedName name="_PRE010401">#REF!</definedName>
    <definedName name="_PRE010402">#REF!</definedName>
    <definedName name="_PRE010407">#REF!</definedName>
    <definedName name="_PRE010413">#REF!</definedName>
    <definedName name="_PRE010501">#REF!</definedName>
    <definedName name="_PRE010503">#REF!</definedName>
    <definedName name="_PRE010505">#REF!</definedName>
    <definedName name="_PRE010509">#REF!</definedName>
    <definedName name="_PRE010512">#REF!</definedName>
    <definedName name="_PRE010518">#REF!</definedName>
    <definedName name="_PRE010519">#REF!</definedName>
    <definedName name="_PRE010521">#REF!</definedName>
    <definedName name="_PRE010523">#REF!</definedName>
    <definedName name="_PRE010532">#REF!</definedName>
    <definedName name="_PRE010533">#REF!</definedName>
    <definedName name="_PRE010536">#REF!</definedName>
    <definedName name="_PRE010701">#REF!</definedName>
    <definedName name="_PRE010703">#REF!</definedName>
    <definedName name="_PRE010705">#REF!</definedName>
    <definedName name="_PRE010708">#REF!</definedName>
    <definedName name="_PRE010710">#REF!</definedName>
    <definedName name="_PRE010712">#REF!</definedName>
    <definedName name="_PRE010717">#REF!</definedName>
    <definedName name="_PRE010718">#REF!</definedName>
    <definedName name="_PRE020201">#REF!</definedName>
    <definedName name="_PRE020205">#REF!</definedName>
    <definedName name="_PRE020211">#REF!</definedName>
    <definedName name="_PRE020217">#REF!</definedName>
    <definedName name="_PRE030102">#REF!</definedName>
    <definedName name="_PRE030201">#REF!</definedName>
    <definedName name="_PRE030303">#REF!</definedName>
    <definedName name="_PRE030317">#REF!</definedName>
    <definedName name="_PRE040101">#REF!</definedName>
    <definedName name="_PRE040202">#REF!</definedName>
    <definedName name="_PRE050103">#REF!</definedName>
    <definedName name="_PRE050207">#REF!</definedName>
    <definedName name="_PRE060101">#REF!</definedName>
    <definedName name="_PRE080101">#REF!</definedName>
    <definedName name="_PRE080310">#REF!</definedName>
    <definedName name="_PRE090101">#REF!</definedName>
    <definedName name="_PRE100302">#REF!</definedName>
    <definedName name="_PRE110101">#REF!</definedName>
    <definedName name="_PRE110104">#REF!</definedName>
    <definedName name="_PRE110107">#REF!</definedName>
    <definedName name="_PRE120101">#REF!</definedName>
    <definedName name="_PRE120105">#REF!</definedName>
    <definedName name="_PRE120106">#REF!</definedName>
    <definedName name="_PRE120107">#REF!</definedName>
    <definedName name="_PRE120110">#REF!</definedName>
    <definedName name="_PRE120150">#REF!</definedName>
    <definedName name="_PRE130101">#REF!</definedName>
    <definedName name="_PRE130103">#REF!</definedName>
    <definedName name="_PRE130304">#REF!</definedName>
    <definedName name="_PRE130401">#REF!</definedName>
    <definedName name="_PRE140102">#REF!</definedName>
    <definedName name="_PRE140109">#REF!</definedName>
    <definedName name="_PRE140113">#REF!</definedName>
    <definedName name="_PRE140122">#REF!</definedName>
    <definedName name="_PRE140126">#REF!</definedName>
    <definedName name="_PRE140129">#REF!</definedName>
    <definedName name="_PRE140135">#REF!</definedName>
    <definedName name="_PRE140143">#REF!</definedName>
    <definedName name="_PRE140145">#REF!</definedName>
    <definedName name="_PRE150130">#REF!</definedName>
    <definedName name="_PRE170101">#REF!</definedName>
    <definedName name="_PRE170102">#REF!</definedName>
    <definedName name="_PRE170103">#REF!</definedName>
    <definedName name="_QUA010201">#REF!</definedName>
    <definedName name="_QUA010202">#REF!</definedName>
    <definedName name="_QUA010205">#REF!</definedName>
    <definedName name="_QUA010206">#REF!</definedName>
    <definedName name="_QUA010210">#REF!</definedName>
    <definedName name="_QUA010301">#REF!</definedName>
    <definedName name="_QUA010401">#REF!</definedName>
    <definedName name="_QUA010402">#REF!</definedName>
    <definedName name="_QUA010407">#REF!</definedName>
    <definedName name="_QUA010413">#REF!</definedName>
    <definedName name="_QUA010501">#REF!</definedName>
    <definedName name="_QUA010503">#REF!</definedName>
    <definedName name="_QUA010505">#REF!</definedName>
    <definedName name="_QUA010509">#REF!</definedName>
    <definedName name="_QUA010512">#REF!</definedName>
    <definedName name="_QUA010518">#REF!</definedName>
    <definedName name="_QUA010519">#REF!</definedName>
    <definedName name="_QUA010521">#REF!</definedName>
    <definedName name="_QUA010523">#REF!</definedName>
    <definedName name="_QUA010532">#REF!</definedName>
    <definedName name="_QUA010533">#REF!</definedName>
    <definedName name="_QUA010536">#REF!</definedName>
    <definedName name="_QUA010701">#REF!</definedName>
    <definedName name="_QUA010703">#REF!</definedName>
    <definedName name="_QUA010705">#REF!</definedName>
    <definedName name="_QUA010708">#REF!</definedName>
    <definedName name="_QUA010710">#REF!</definedName>
    <definedName name="_QUA010712">#REF!</definedName>
    <definedName name="_QUA010717">#REF!</definedName>
    <definedName name="_QUA010718">#REF!</definedName>
    <definedName name="_QUA020201">#REF!</definedName>
    <definedName name="_QUA020205">#REF!</definedName>
    <definedName name="_QUA020211">#REF!</definedName>
    <definedName name="_QUA020217">#REF!</definedName>
    <definedName name="_QUA030102">#REF!</definedName>
    <definedName name="_QUA030201">#REF!</definedName>
    <definedName name="_QUA030303">#REF!</definedName>
    <definedName name="_QUA030317">#REF!</definedName>
    <definedName name="_QUA040101">#REF!</definedName>
    <definedName name="_QUA040202">#REF!</definedName>
    <definedName name="_QUA050103">#REF!</definedName>
    <definedName name="_QUA050207">#REF!</definedName>
    <definedName name="_QUA060101">#REF!</definedName>
    <definedName name="_QUA080101">#REF!</definedName>
    <definedName name="_QUA080310">#REF!</definedName>
    <definedName name="_QUA090101">#REF!</definedName>
    <definedName name="_QUA100302">#REF!</definedName>
    <definedName name="_QUA110101">#REF!</definedName>
    <definedName name="_QUA110104">#REF!</definedName>
    <definedName name="_QUA110107">#REF!</definedName>
    <definedName name="_QUA120101">#REF!</definedName>
    <definedName name="_QUA120105">#REF!</definedName>
    <definedName name="_QUA120106">#REF!</definedName>
    <definedName name="_QUA120107">#REF!</definedName>
    <definedName name="_QUA120110">#REF!</definedName>
    <definedName name="_QUA120150">#REF!</definedName>
    <definedName name="_QUA130101">#REF!</definedName>
    <definedName name="_QUA130103">#REF!</definedName>
    <definedName name="_QUA130304">#REF!</definedName>
    <definedName name="_QUA130401">#REF!</definedName>
    <definedName name="_QUA140102">#REF!</definedName>
    <definedName name="_QUA140109">#REF!</definedName>
    <definedName name="_QUA140113">#REF!</definedName>
    <definedName name="_QUA140122">#REF!</definedName>
    <definedName name="_QUA140126">#REF!</definedName>
    <definedName name="_QUA140129">#REF!</definedName>
    <definedName name="_QUA140135">#REF!</definedName>
    <definedName name="_QUA140143">#REF!</definedName>
    <definedName name="_QUA140145">#REF!</definedName>
    <definedName name="_QUA150130">#REF!</definedName>
    <definedName name="_QUA170101">#REF!</definedName>
    <definedName name="_QUA170102">#REF!</definedName>
    <definedName name="_QUA170103">#REF!</definedName>
    <definedName name="_R">#REF!</definedName>
    <definedName name="_REC11100">#REF!</definedName>
    <definedName name="_REC11110">#REF!</definedName>
    <definedName name="_REC11115">#REF!</definedName>
    <definedName name="_REC11125">#REF!</definedName>
    <definedName name="_REC11130">#REF!</definedName>
    <definedName name="_REC11135">#REF!</definedName>
    <definedName name="_REC11145">#REF!</definedName>
    <definedName name="_REC11150">#REF!</definedName>
    <definedName name="_REC11165">#REF!</definedName>
    <definedName name="_REC11170">#REF!</definedName>
    <definedName name="_REC11180">#REF!</definedName>
    <definedName name="_REC11185">#REF!</definedName>
    <definedName name="_REC11220">#REF!</definedName>
    <definedName name="_REC12105">#REF!</definedName>
    <definedName name="_REC12555">#REF!</definedName>
    <definedName name="_REC12570">#REF!</definedName>
    <definedName name="_REC12575">#REF!</definedName>
    <definedName name="_REC12580">#REF!</definedName>
    <definedName name="_REC12600">#REF!</definedName>
    <definedName name="_REC12610">#REF!</definedName>
    <definedName name="_REC12630">#REF!</definedName>
    <definedName name="_REC12631">#REF!</definedName>
    <definedName name="_REC12640">#REF!</definedName>
    <definedName name="_REC12645">#REF!</definedName>
    <definedName name="_REC12665">#REF!</definedName>
    <definedName name="_REC12690">#REF!</definedName>
    <definedName name="_REC12700">#REF!</definedName>
    <definedName name="_REC12710">#REF!</definedName>
    <definedName name="_REC13111">#REF!</definedName>
    <definedName name="_REC13112">#REF!</definedName>
    <definedName name="_REC13121">#REF!</definedName>
    <definedName name="_REC13720">#REF!</definedName>
    <definedName name="_REC14100">#REF!</definedName>
    <definedName name="_REC14161">#REF!</definedName>
    <definedName name="_REC14195">#REF!</definedName>
    <definedName name="_REC14205">#REF!</definedName>
    <definedName name="_REC14260">#REF!</definedName>
    <definedName name="_REC14500">#REF!</definedName>
    <definedName name="_REC14515">#REF!</definedName>
    <definedName name="_REC14555">#REF!</definedName>
    <definedName name="_REC14565">#REF!</definedName>
    <definedName name="_REC15135">#REF!</definedName>
    <definedName name="_REC15140">#REF!</definedName>
    <definedName name="_REC15195">#REF!</definedName>
    <definedName name="_REC15225">#REF!</definedName>
    <definedName name="_REC15230">#REF!</definedName>
    <definedName name="_REC15515">#REF!</definedName>
    <definedName name="_REC15560">#REF!</definedName>
    <definedName name="_REC15565">#REF!</definedName>
    <definedName name="_REC15570">#REF!</definedName>
    <definedName name="_REC15575">#REF!</definedName>
    <definedName name="_REC15583">#REF!</definedName>
    <definedName name="_REC15590">#REF!</definedName>
    <definedName name="_REC15591">#REF!</definedName>
    <definedName name="_REC15610">#REF!</definedName>
    <definedName name="_REC15625">#REF!</definedName>
    <definedName name="_REC15635">#REF!</definedName>
    <definedName name="_REC15655">#REF!</definedName>
    <definedName name="_REC15665">#REF!</definedName>
    <definedName name="_REC16515">#REF!</definedName>
    <definedName name="_REC16535">#REF!</definedName>
    <definedName name="_REC17140">#REF!</definedName>
    <definedName name="_REC19500">#REF!</definedName>
    <definedName name="_REC19501">#REF!</definedName>
    <definedName name="_REC19502">#REF!</definedName>
    <definedName name="_REC19503">#REF!</definedName>
    <definedName name="_REC19504">#REF!</definedName>
    <definedName name="_REC19505">#REF!</definedName>
    <definedName name="_REC20100">#REF!</definedName>
    <definedName name="_REC20105">#REF!</definedName>
    <definedName name="_REC20110">#REF!</definedName>
    <definedName name="_REC20115">#REF!</definedName>
    <definedName name="_REC20130">#REF!</definedName>
    <definedName name="_REC20135">#REF!</definedName>
    <definedName name="_REC20140">#REF!</definedName>
    <definedName name="_REC20145">#REF!</definedName>
    <definedName name="_REC20150">#REF!</definedName>
    <definedName name="_REC20155">#REF!</definedName>
    <definedName name="_REC20175">#REF!</definedName>
    <definedName name="_REC20185">#REF!</definedName>
    <definedName name="_REC20190">#REF!</definedName>
    <definedName name="_REC20195">#REF!</definedName>
    <definedName name="_REC20210">#REF!</definedName>
    <definedName name="_RET1">[1]Regula!$J$36</definedName>
    <definedName name="_svi2" localSheetId="9">#REF!</definedName>
    <definedName name="_svi2">#REF!</definedName>
    <definedName name="_TT102" localSheetId="9">'[2]Relatório-1ª med.'!#REF!</definedName>
    <definedName name="_TT102">'[2]Relatório-1ª med.'!#REF!</definedName>
    <definedName name="_TT107" localSheetId="9">'[2]Relatório-1ª med.'!#REF!</definedName>
    <definedName name="_TT107">'[2]Relatório-1ª med.'!#REF!</definedName>
    <definedName name="_TT121" localSheetId="9">'[2]Relatório-1ª med.'!#REF!</definedName>
    <definedName name="_TT121">'[2]Relatório-1ª med.'!#REF!</definedName>
    <definedName name="_TT123" localSheetId="9">'[2]Relatório-1ª med.'!#REF!</definedName>
    <definedName name="_TT123">'[2]Relatório-1ª med.'!#REF!</definedName>
    <definedName name="_TT19">'[2]Relatório-1ª med.'!#REF!</definedName>
    <definedName name="_TT20">'[2]Relatório-1ª med.'!#REF!</definedName>
    <definedName name="_TT21">'[2]Relatório-1ª med.'!#REF!</definedName>
    <definedName name="_TT22">'[2]Relatório-1ª med.'!#REF!</definedName>
    <definedName name="_TT26">'[2]Relatório-1ª med.'!#REF!</definedName>
    <definedName name="_TT27">'[2]Relatório-1ª med.'!#REF!</definedName>
    <definedName name="_TT28">'[2]Relatório-1ª med.'!#REF!</definedName>
    <definedName name="_TT30">'[2]Relatório-1ª med.'!#REF!</definedName>
    <definedName name="_TT31">'[2]Relatório-1ª med.'!#REF!</definedName>
    <definedName name="_TT32">'[2]Relatório-1ª med.'!#REF!</definedName>
    <definedName name="_TT33">'[2]Relatório-1ª med.'!#REF!</definedName>
    <definedName name="_TT34">'[2]Relatório-1ª med.'!#REF!</definedName>
    <definedName name="_TT36">'[2]Relatório-1ª med.'!#REF!</definedName>
    <definedName name="_TT37">'[2]Relatório-1ª med.'!#REF!</definedName>
    <definedName name="_TT38">'[2]Relatório-1ª med.'!#REF!</definedName>
    <definedName name="_TT39">'[2]Relatório-1ª med.'!#REF!</definedName>
    <definedName name="_TT40">'[2]Relatório-1ª med.'!#REF!</definedName>
    <definedName name="_TT5">'[2]Relatório-1ª med.'!#REF!</definedName>
    <definedName name="_TT52">'[2]Relatório-1ª med.'!#REF!</definedName>
    <definedName name="_TT53">'[2]Relatório-1ª med.'!#REF!</definedName>
    <definedName name="_TT54">'[2]Relatório-1ª med.'!#REF!</definedName>
    <definedName name="_TT55">'[2]Relatório-1ª med.'!#REF!</definedName>
    <definedName name="_TT6">'[2]Relatório-1ª med.'!#REF!</definedName>
    <definedName name="_TT60">'[2]Relatório-1ª med.'!#REF!</definedName>
    <definedName name="_TT61">'[2]Relatório-1ª med.'!#REF!</definedName>
    <definedName name="_TT69">'[2]Relatório-1ª med.'!#REF!</definedName>
    <definedName name="_TT7">'[2]Relatório-1ª med.'!#REF!</definedName>
    <definedName name="_TT70">'[2]Relatório-1ª med.'!#REF!</definedName>
    <definedName name="_TT71">'[2]Relatório-1ª med.'!#REF!</definedName>
    <definedName name="_TT74">'[2]Relatório-1ª med.'!#REF!</definedName>
    <definedName name="_TT75">'[2]Relatório-1ª med.'!#REF!</definedName>
    <definedName name="_TT76">'[2]Relatório-1ª med.'!#REF!</definedName>
    <definedName name="_TT77">'[2]Relatório-1ª med.'!#REF!</definedName>
    <definedName name="_TT78">'[2]Relatório-1ª med.'!#REF!</definedName>
    <definedName name="_TT79">'[2]Relatório-1ª med.'!#REF!</definedName>
    <definedName name="_TT94">'[2]Relatório-1ª med.'!#REF!</definedName>
    <definedName name="_TT95">'[2]Relatório-1ª med.'!#REF!</definedName>
    <definedName name="_TT97">'[2]Relatório-1ª med.'!#REF!</definedName>
    <definedName name="_UNI11100" localSheetId="9">#REF!</definedName>
    <definedName name="_UNI11100">#REF!</definedName>
    <definedName name="_UNI11110">#REF!</definedName>
    <definedName name="_UNI11115">#REF!</definedName>
    <definedName name="_UNI11125">#REF!</definedName>
    <definedName name="_UNI11130">#REF!</definedName>
    <definedName name="_UNI11135">#REF!</definedName>
    <definedName name="_UNI11145">#REF!</definedName>
    <definedName name="_UNI11150">#REF!</definedName>
    <definedName name="_UNI11165">#REF!</definedName>
    <definedName name="_UNI11170">#REF!</definedName>
    <definedName name="_UNI11180">#REF!</definedName>
    <definedName name="_UNI11185">#REF!</definedName>
    <definedName name="_UNI11220">#REF!</definedName>
    <definedName name="_UNI12105">#REF!</definedName>
    <definedName name="_UNI12555">#REF!</definedName>
    <definedName name="_UNI12570">#REF!</definedName>
    <definedName name="_UNI12575">#REF!</definedName>
    <definedName name="_UNI12580">#REF!</definedName>
    <definedName name="_UNI12600">#REF!</definedName>
    <definedName name="_UNI12610">#REF!</definedName>
    <definedName name="_UNI12630">#REF!</definedName>
    <definedName name="_UNI12631">#REF!</definedName>
    <definedName name="_UNI12640">#REF!</definedName>
    <definedName name="_UNI12645">#REF!</definedName>
    <definedName name="_UNI12665">#REF!</definedName>
    <definedName name="_UNI12690">#REF!</definedName>
    <definedName name="_UNI12700">#REF!</definedName>
    <definedName name="_UNI12710">#REF!</definedName>
    <definedName name="_UNI13111">#REF!</definedName>
    <definedName name="_UNI13112">#REF!</definedName>
    <definedName name="_UNI13121">#REF!</definedName>
    <definedName name="_UNI13720">#REF!</definedName>
    <definedName name="_UNI14100">#REF!</definedName>
    <definedName name="_UNI14161">#REF!</definedName>
    <definedName name="_UNI14195">#REF!</definedName>
    <definedName name="_UNI14205">#REF!</definedName>
    <definedName name="_UNI14260">#REF!</definedName>
    <definedName name="_UNI14500">#REF!</definedName>
    <definedName name="_UNI14515">#REF!</definedName>
    <definedName name="_UNI14555">#REF!</definedName>
    <definedName name="_UNI14565">#REF!</definedName>
    <definedName name="_UNI15135">#REF!</definedName>
    <definedName name="_UNI15140">#REF!</definedName>
    <definedName name="_UNI15195">#REF!</definedName>
    <definedName name="_UNI15225">#REF!</definedName>
    <definedName name="_UNI15230">#REF!</definedName>
    <definedName name="_UNI15515">#REF!</definedName>
    <definedName name="_UNI15560">#REF!</definedName>
    <definedName name="_UNI15565">#REF!</definedName>
    <definedName name="_UNI15570">#REF!</definedName>
    <definedName name="_UNI15575">#REF!</definedName>
    <definedName name="_UNI15583">#REF!</definedName>
    <definedName name="_UNI15590">#REF!</definedName>
    <definedName name="_UNI15591">#REF!</definedName>
    <definedName name="_UNI15610">#REF!</definedName>
    <definedName name="_UNI15625">#REF!</definedName>
    <definedName name="_UNI15635">#REF!</definedName>
    <definedName name="_UNI15655">#REF!</definedName>
    <definedName name="_UNI15665">#REF!</definedName>
    <definedName name="_UNI16515">#REF!</definedName>
    <definedName name="_UNI16535">#REF!</definedName>
    <definedName name="_UNI17140">#REF!</definedName>
    <definedName name="_UNI19500">#REF!</definedName>
    <definedName name="_UNI19501">#REF!</definedName>
    <definedName name="_UNI19502">#REF!</definedName>
    <definedName name="_UNI19503">#REF!</definedName>
    <definedName name="_UNI19504">#REF!</definedName>
    <definedName name="_UNI19505">#REF!</definedName>
    <definedName name="_UNI20100">#REF!</definedName>
    <definedName name="_UNI20105">#REF!</definedName>
    <definedName name="_UNI20110">#REF!</definedName>
    <definedName name="_UNI20115">#REF!</definedName>
    <definedName name="_UNI20130">#REF!</definedName>
    <definedName name="_UNI20135">#REF!</definedName>
    <definedName name="_UNI20140">#REF!</definedName>
    <definedName name="_UNI20145">#REF!</definedName>
    <definedName name="_UNI20150">#REF!</definedName>
    <definedName name="_UNI20155">#REF!</definedName>
    <definedName name="_UNI20175">#REF!</definedName>
    <definedName name="_UNI20185">#REF!</definedName>
    <definedName name="_UNI20190">#REF!</definedName>
    <definedName name="_UNI20195">#REF!</definedName>
    <definedName name="_UNI20210">#REF!</definedName>
    <definedName name="_VAL11100">#REF!</definedName>
    <definedName name="_VAL11110">#REF!</definedName>
    <definedName name="_VAL11115">#REF!</definedName>
    <definedName name="_VAL11125">#REF!</definedName>
    <definedName name="_VAL11130">#REF!</definedName>
    <definedName name="_VAL11135">#REF!</definedName>
    <definedName name="_VAL11145">#REF!</definedName>
    <definedName name="_VAL11150">#REF!</definedName>
    <definedName name="_VAL11165">#REF!</definedName>
    <definedName name="_VAL11170">#REF!</definedName>
    <definedName name="_VAL11180">#REF!</definedName>
    <definedName name="_VAL11185">#REF!</definedName>
    <definedName name="_VAL11220">#REF!</definedName>
    <definedName name="_VAL12105">#REF!</definedName>
    <definedName name="_VAL12555">#REF!</definedName>
    <definedName name="_VAL12570">#REF!</definedName>
    <definedName name="_VAL12575">#REF!</definedName>
    <definedName name="_VAL12580">#REF!</definedName>
    <definedName name="_VAL12600">#REF!</definedName>
    <definedName name="_VAL12610">#REF!</definedName>
    <definedName name="_VAL12630">#REF!</definedName>
    <definedName name="_VAL12631">#REF!</definedName>
    <definedName name="_VAL12640">#REF!</definedName>
    <definedName name="_VAL12645">#REF!</definedName>
    <definedName name="_VAL12665">#REF!</definedName>
    <definedName name="_VAL12690">#REF!</definedName>
    <definedName name="_VAL12700">#REF!</definedName>
    <definedName name="_VAL12710">#REF!</definedName>
    <definedName name="_VAL13111">#REF!</definedName>
    <definedName name="_VAL13112">#REF!</definedName>
    <definedName name="_VAL13121">#REF!</definedName>
    <definedName name="_VAL13720">#REF!</definedName>
    <definedName name="_VAL14100">#REF!</definedName>
    <definedName name="_VAL14161">#REF!</definedName>
    <definedName name="_VAL14195">#REF!</definedName>
    <definedName name="_VAL14205">#REF!</definedName>
    <definedName name="_VAL14260">#REF!</definedName>
    <definedName name="_VAL14500">#REF!</definedName>
    <definedName name="_VAL14515">#REF!</definedName>
    <definedName name="_VAL14555">#REF!</definedName>
    <definedName name="_VAL14565">#REF!</definedName>
    <definedName name="_VAL15135">#REF!</definedName>
    <definedName name="_VAL15140">#REF!</definedName>
    <definedName name="_VAL15195">#REF!</definedName>
    <definedName name="_VAL15225">#REF!</definedName>
    <definedName name="_VAL15230">#REF!</definedName>
    <definedName name="_VAL15515">#REF!</definedName>
    <definedName name="_VAL15560">#REF!</definedName>
    <definedName name="_VAL15565">#REF!</definedName>
    <definedName name="_VAL15570">#REF!</definedName>
    <definedName name="_VAL15575">#REF!</definedName>
    <definedName name="_VAL15583">#REF!</definedName>
    <definedName name="_VAL15590">#REF!</definedName>
    <definedName name="_VAL15591">#REF!</definedName>
    <definedName name="_VAL15610">#REF!</definedName>
    <definedName name="_VAL15625">#REF!</definedName>
    <definedName name="_VAL15635">#REF!</definedName>
    <definedName name="_VAL15655">#REF!</definedName>
    <definedName name="_VAL15665">#REF!</definedName>
    <definedName name="_VAL16515">#REF!</definedName>
    <definedName name="_VAL16535">#REF!</definedName>
    <definedName name="_VAL17140">#REF!</definedName>
    <definedName name="_VAL19500">#REF!</definedName>
    <definedName name="_VAL19501">#REF!</definedName>
    <definedName name="_VAL19502">#REF!</definedName>
    <definedName name="_VAL19503">#REF!</definedName>
    <definedName name="_VAL19504">#REF!</definedName>
    <definedName name="_VAL19505">#REF!</definedName>
    <definedName name="_VAL20100">#REF!</definedName>
    <definedName name="_VAL20105">#REF!</definedName>
    <definedName name="_VAL20110">#REF!</definedName>
    <definedName name="_VAL20115">#REF!</definedName>
    <definedName name="_VAL20130">#REF!</definedName>
    <definedName name="_VAL20135">#REF!</definedName>
    <definedName name="_VAL20140">#REF!</definedName>
    <definedName name="_VAL20145">#REF!</definedName>
    <definedName name="_VAL20150">#REF!</definedName>
    <definedName name="_VAL20155">#REF!</definedName>
    <definedName name="_VAL20175">#REF!</definedName>
    <definedName name="_VAL20185">#REF!</definedName>
    <definedName name="_VAL20190">#REF!</definedName>
    <definedName name="_VAL20195">#REF!</definedName>
    <definedName name="_VAL20210">#REF!</definedName>
    <definedName name="A">#REF!</definedName>
    <definedName name="AA">#REF!</definedName>
    <definedName name="ANTIGA">#REF!</definedName>
    <definedName name="area_base">[1]Base!$U$40</definedName>
    <definedName name="_xlnm.Print_Area" localSheetId="5">'BDI '!$C$1:$L$40</definedName>
    <definedName name="_xlnm.Print_Area" localSheetId="9">#REF!</definedName>
    <definedName name="_xlnm.Print_Area" localSheetId="4">'CRONOGRAMA FISICO FINANCEIRO'!$B$1:$L$102</definedName>
    <definedName name="_xlnm.Print_Area" localSheetId="1">ORÇAMENTO!$A$1:$L$441</definedName>
    <definedName name="_xlnm.Print_Area" localSheetId="0">RESUMO!$A$1:$G$48</definedName>
    <definedName name="_xlnm.Print_Area">#REF!</definedName>
    <definedName name="Área_impressão_IM">#REF!</definedName>
    <definedName name="ASD">#REF!</definedName>
    <definedName name="aux">#REF!</definedName>
    <definedName name="auxiliar">#REF!</definedName>
    <definedName name="B">#REF!</definedName>
    <definedName name="bdi">#REF!</definedName>
    <definedName name="BDI.">#REF!</definedName>
    <definedName name="Bomba_putzmeister">#REF!</definedName>
    <definedName name="cab_cortes">#REF!</definedName>
    <definedName name="cab_dmt">#REF!</definedName>
    <definedName name="cab_limpeza">#REF!</definedName>
    <definedName name="cabmeio">#REF!</definedName>
    <definedName name="Código">#REF!</definedName>
    <definedName name="Código.">#REF!</definedName>
    <definedName name="corte">#REF!</definedName>
    <definedName name="D">#REF!</definedName>
    <definedName name="data">#REF!</definedName>
    <definedName name="densidade_cap">#REF!</definedName>
    <definedName name="DES">#REF!</definedName>
    <definedName name="DMT_0_50">#REF!</definedName>
    <definedName name="DMT_1000">#REF!</definedName>
    <definedName name="DMT_200">#REF!</definedName>
    <definedName name="DMT_200_400">#REF!</definedName>
    <definedName name="DMT_400">#REF!</definedName>
    <definedName name="DMT_400_600">#REF!</definedName>
    <definedName name="DMT_50">#REF!</definedName>
    <definedName name="DMT_50_200">#REF!</definedName>
    <definedName name="DMT_600">#REF!</definedName>
    <definedName name="DMT_800">#REF!</definedName>
    <definedName name="drena">#REF!</definedName>
    <definedName name="Empolamento">#REF!</definedName>
    <definedName name="EPVT">#REF!</definedName>
    <definedName name="EQPTO">#REF!</definedName>
    <definedName name="est">#REF!</definedName>
    <definedName name="Excel_BuiltIn_Print_Area_1">#REF!</definedName>
    <definedName name="FINAL">#REF!</definedName>
    <definedName name="G">#REF!</definedName>
    <definedName name="gg">#REF!</definedName>
    <definedName name="grt">#REF!</definedName>
    <definedName name="inf">'[3]Orçamento Global'!$D$38</definedName>
    <definedName name="insumos" localSheetId="9">#REF!</definedName>
    <definedName name="insumos">#REF!</definedName>
    <definedName name="ITEM">#REF!</definedName>
    <definedName name="item1">[4]Plan1!$J$13</definedName>
    <definedName name="item3">[4]Plan1!$J$30</definedName>
    <definedName name="item4">[4]Plan1!$J$39</definedName>
    <definedName name="koae" localSheetId="9">#REF!</definedName>
    <definedName name="koae">#REF!</definedName>
    <definedName name="kpavi">#REF!</definedName>
    <definedName name="kterra">#REF!</definedName>
    <definedName name="LEIS">#REF!</definedName>
    <definedName name="MACROS">#REF!</definedName>
    <definedName name="MAT">#REF!</definedName>
    <definedName name="MEIO_FIO">#REF!</definedName>
    <definedName name="MO">#REF!</definedName>
    <definedName name="mo_base">[1]Base!$U$39</definedName>
    <definedName name="mo_sub_base">'[1]Sub-base'!$U$36</definedName>
    <definedName name="MOE" localSheetId="9">#REF!</definedName>
    <definedName name="MOE">#REF!</definedName>
    <definedName name="MOH">#REF!</definedName>
    <definedName name="num_linhas">#REF!</definedName>
    <definedName name="oac">#REF!</definedName>
    <definedName name="oae">#REF!</definedName>
    <definedName name="ocom">#REF!</definedName>
    <definedName name="pavi">#REF!</definedName>
    <definedName name="PL_ABC">#REF!</definedName>
    <definedName name="plan275">#REF!</definedName>
    <definedName name="planilha">#REF!</definedName>
    <definedName name="plano">#REF!</definedName>
    <definedName name="ppt_pistas_e_patios">#REF!</definedName>
    <definedName name="Q">#REF!</definedName>
    <definedName name="QUANT_acumu">#REF!</definedName>
    <definedName name="rea">#REF!</definedName>
    <definedName name="REGULA">[1]Regula!$M$36</definedName>
    <definedName name="resumo" localSheetId="9">#REF!</definedName>
    <definedName name="resumo">#REF!</definedName>
    <definedName name="t">#REF!</definedName>
    <definedName name="taxa_cap">#REF!</definedName>
    <definedName name="terra">#REF!</definedName>
    <definedName name="TESTE">#REF!</definedName>
    <definedName name="_xlnm.Print_Titles" localSheetId="4">'CRONOGRAMA FISICO FINANCEIRO'!$10:$11</definedName>
    <definedName name="_xlnm.Print_Titles" localSheetId="1">ORÇAMENTO!$8:$9</definedName>
    <definedName name="_xlnm.Print_Titles" localSheetId="0">RESUMO!$5:$6</definedName>
    <definedName name="total" localSheetId="9">#REF!</definedName>
    <definedName name="total">#REF!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4" i="27" l="1"/>
  <c r="I5" i="27"/>
  <c r="I6" i="27" s="1"/>
  <c r="I7" i="27" s="1"/>
  <c r="I8" i="27" s="1"/>
  <c r="I9" i="27" s="1"/>
  <c r="I10" i="27" s="1"/>
  <c r="I11" i="27" s="1"/>
  <c r="I12" i="27" s="1"/>
  <c r="I13" i="27" s="1"/>
  <c r="I14" i="27" s="1"/>
  <c r="I15" i="27" s="1"/>
  <c r="I16" i="27" s="1"/>
  <c r="I17" i="27" s="1"/>
  <c r="I18" i="27" s="1"/>
  <c r="I19" i="27" s="1"/>
  <c r="I20" i="27" s="1"/>
  <c r="I21" i="27" s="1"/>
  <c r="I22" i="27" s="1"/>
  <c r="I23" i="27" s="1"/>
  <c r="I24" i="27" s="1"/>
  <c r="I25" i="27" s="1"/>
  <c r="I26" i="27" s="1"/>
  <c r="I27" i="27" s="1"/>
  <c r="I28" i="27" s="1"/>
  <c r="I29" i="27" s="1"/>
  <c r="I30" i="27" s="1"/>
  <c r="I31" i="27" s="1"/>
  <c r="I32" i="27" s="1"/>
  <c r="I33" i="27" s="1"/>
  <c r="I34" i="27" s="1"/>
  <c r="I35" i="27" s="1"/>
  <c r="I36" i="27" s="1"/>
  <c r="I37" i="27" s="1"/>
  <c r="I38" i="27" s="1"/>
  <c r="I39" i="27" s="1"/>
  <c r="I40" i="27" s="1"/>
  <c r="I41" i="27" s="1"/>
  <c r="I42" i="27" s="1"/>
  <c r="I43" i="27" s="1"/>
  <c r="I44" i="27" s="1"/>
  <c r="I45" i="27" s="1"/>
  <c r="I46" i="27" s="1"/>
  <c r="I47" i="27" s="1"/>
  <c r="I48" i="27" s="1"/>
  <c r="I49" i="27" s="1"/>
  <c r="I50" i="27" s="1"/>
  <c r="I51" i="27" s="1"/>
  <c r="I52" i="27" s="1"/>
  <c r="I53" i="27" s="1"/>
  <c r="I54" i="27" s="1"/>
  <c r="I55" i="27" s="1"/>
  <c r="I56" i="27" s="1"/>
  <c r="I57" i="27" s="1"/>
  <c r="I58" i="27" s="1"/>
  <c r="I59" i="27" s="1"/>
  <c r="I60" i="27" s="1"/>
  <c r="I61" i="27" s="1"/>
  <c r="I62" i="27" s="1"/>
  <c r="I63" i="27" s="1"/>
  <c r="I64" i="27" s="1"/>
  <c r="I65" i="27" s="1"/>
  <c r="I66" i="27" s="1"/>
  <c r="I67" i="27" s="1"/>
  <c r="I68" i="27" s="1"/>
  <c r="I69" i="27" s="1"/>
  <c r="I70" i="27" s="1"/>
  <c r="I71" i="27" s="1"/>
  <c r="I72" i="27" s="1"/>
  <c r="I73" i="27" s="1"/>
  <c r="I74" i="27" s="1"/>
  <c r="I75" i="27" s="1"/>
  <c r="I76" i="27" s="1"/>
  <c r="I77" i="27" s="1"/>
  <c r="I78" i="27" s="1"/>
  <c r="I79" i="27" s="1"/>
  <c r="I80" i="27" s="1"/>
  <c r="I81" i="27" s="1"/>
  <c r="I82" i="27" s="1"/>
  <c r="I83" i="27" s="1"/>
  <c r="I84" i="27" s="1"/>
  <c r="I85" i="27" s="1"/>
  <c r="I86" i="27" s="1"/>
  <c r="I87" i="27" s="1"/>
  <c r="I88" i="27" s="1"/>
  <c r="I89" i="27" s="1"/>
  <c r="I90" i="27" s="1"/>
  <c r="I91" i="27" s="1"/>
  <c r="I92" i="27" s="1"/>
  <c r="I93" i="27" s="1"/>
  <c r="I94" i="27" s="1"/>
  <c r="I95" i="27" s="1"/>
  <c r="I96" i="27" s="1"/>
  <c r="I97" i="27" s="1"/>
  <c r="I98" i="27" s="1"/>
  <c r="I99" i="27" s="1"/>
  <c r="I100" i="27" s="1"/>
  <c r="I101" i="27" s="1"/>
  <c r="I102" i="27" s="1"/>
  <c r="I103" i="27" s="1"/>
  <c r="I104" i="27" s="1"/>
  <c r="I105" i="27" s="1"/>
  <c r="I106" i="27" s="1"/>
  <c r="I107" i="27" s="1"/>
  <c r="I108" i="27" s="1"/>
  <c r="I109" i="27" s="1"/>
  <c r="I110" i="27" s="1"/>
  <c r="I111" i="27" s="1"/>
  <c r="I112" i="27" s="1"/>
  <c r="I113" i="27" s="1"/>
  <c r="I114" i="27" s="1"/>
  <c r="I115" i="27" s="1"/>
  <c r="I116" i="27" s="1"/>
  <c r="I117" i="27" s="1"/>
  <c r="I118" i="27" s="1"/>
  <c r="I119" i="27" s="1"/>
  <c r="I120" i="27" s="1"/>
  <c r="I121" i="27" s="1"/>
  <c r="I122" i="27" s="1"/>
  <c r="I123" i="27" s="1"/>
  <c r="I124" i="27" s="1"/>
  <c r="I125" i="27" s="1"/>
  <c r="I126" i="27" s="1"/>
  <c r="I127" i="27" s="1"/>
  <c r="I128" i="27" s="1"/>
  <c r="I129" i="27" s="1"/>
  <c r="I130" i="27" s="1"/>
  <c r="I131" i="27" s="1"/>
  <c r="I132" i="27" s="1"/>
  <c r="I133" i="27" s="1"/>
  <c r="I134" i="27" s="1"/>
  <c r="I135" i="27" s="1"/>
  <c r="I136" i="27" s="1"/>
  <c r="I137" i="27" s="1"/>
  <c r="I138" i="27" s="1"/>
  <c r="I139" i="27" s="1"/>
  <c r="I140" i="27" s="1"/>
  <c r="I141" i="27" s="1"/>
  <c r="I142" i="27" s="1"/>
  <c r="I143" i="27" s="1"/>
  <c r="I144" i="27" s="1"/>
  <c r="I145" i="27" s="1"/>
  <c r="I146" i="27" s="1"/>
  <c r="I147" i="27" s="1"/>
  <c r="I148" i="27" s="1"/>
  <c r="I149" i="27" s="1"/>
  <c r="I150" i="27" s="1"/>
  <c r="I151" i="27" s="1"/>
  <c r="I152" i="27" s="1"/>
  <c r="I153" i="27" s="1"/>
  <c r="I154" i="27" s="1"/>
  <c r="I155" i="27" s="1"/>
  <c r="I156" i="27" s="1"/>
  <c r="I157" i="27" s="1"/>
  <c r="I158" i="27" s="1"/>
  <c r="I159" i="27" s="1"/>
  <c r="I160" i="27" s="1"/>
  <c r="I161" i="27" s="1"/>
  <c r="I162" i="27" s="1"/>
  <c r="I163" i="27" s="1"/>
  <c r="I164" i="27" s="1"/>
  <c r="I165" i="27" s="1"/>
  <c r="I166" i="27" s="1"/>
  <c r="I167" i="27" s="1"/>
  <c r="I168" i="27" s="1"/>
  <c r="I169" i="27" s="1"/>
  <c r="I170" i="27" s="1"/>
  <c r="I171" i="27" s="1"/>
  <c r="I172" i="27" s="1"/>
  <c r="I173" i="27" s="1"/>
  <c r="I174" i="27" s="1"/>
  <c r="I175" i="27" s="1"/>
  <c r="I176" i="27" s="1"/>
  <c r="I177" i="27" s="1"/>
  <c r="I178" i="27" s="1"/>
  <c r="I179" i="27" s="1"/>
  <c r="I180" i="27" s="1"/>
  <c r="I181" i="27" s="1"/>
  <c r="I182" i="27" s="1"/>
  <c r="I183" i="27" s="1"/>
  <c r="I184" i="27" s="1"/>
  <c r="I185" i="27" s="1"/>
  <c r="I186" i="27" s="1"/>
  <c r="I187" i="27" s="1"/>
  <c r="I188" i="27" s="1"/>
  <c r="I189" i="27" s="1"/>
  <c r="I190" i="27" s="1"/>
  <c r="I191" i="27" s="1"/>
  <c r="I192" i="27" s="1"/>
  <c r="I193" i="27" s="1"/>
  <c r="I194" i="27" s="1"/>
  <c r="I195" i="27" s="1"/>
  <c r="I196" i="27" s="1"/>
  <c r="I197" i="27" s="1"/>
  <c r="I198" i="27" s="1"/>
  <c r="I199" i="27" s="1"/>
  <c r="I200" i="27" s="1"/>
  <c r="I201" i="27" s="1"/>
  <c r="I202" i="27" s="1"/>
  <c r="I203" i="27" s="1"/>
  <c r="I204" i="27" s="1"/>
  <c r="I205" i="27" s="1"/>
  <c r="I206" i="27" s="1"/>
  <c r="I207" i="27" s="1"/>
  <c r="I208" i="27" s="1"/>
  <c r="I209" i="27" s="1"/>
  <c r="I210" i="27" s="1"/>
  <c r="I211" i="27" s="1"/>
  <c r="I212" i="27" s="1"/>
  <c r="I213" i="27" s="1"/>
  <c r="I214" i="27" s="1"/>
  <c r="I215" i="27" s="1"/>
  <c r="I216" i="27" s="1"/>
  <c r="I217" i="27" s="1"/>
  <c r="I218" i="27" s="1"/>
  <c r="I219" i="27" s="1"/>
  <c r="I220" i="27" s="1"/>
  <c r="I221" i="27" s="1"/>
  <c r="I222" i="27" s="1"/>
  <c r="I223" i="27" s="1"/>
  <c r="I224" i="27" s="1"/>
  <c r="I225" i="27" s="1"/>
  <c r="I226" i="27" s="1"/>
  <c r="I227" i="27" s="1"/>
  <c r="I228" i="27" s="1"/>
  <c r="I229" i="27" s="1"/>
  <c r="I230" i="27" s="1"/>
  <c r="I231" i="27" s="1"/>
  <c r="I232" i="27" s="1"/>
  <c r="I233" i="27" s="1"/>
  <c r="I234" i="27" s="1"/>
  <c r="I235" i="27" s="1"/>
  <c r="I236" i="27" s="1"/>
  <c r="I237" i="27" s="1"/>
  <c r="I238" i="27" s="1"/>
  <c r="I239" i="27" s="1"/>
  <c r="I240" i="27" s="1"/>
  <c r="I241" i="27" s="1"/>
  <c r="I242" i="27" s="1"/>
  <c r="I243" i="27" s="1"/>
  <c r="I244" i="27" s="1"/>
  <c r="I245" i="27" s="1"/>
  <c r="I246" i="27" s="1"/>
  <c r="I247" i="27" s="1"/>
  <c r="I248" i="27" s="1"/>
  <c r="I249" i="27" s="1"/>
  <c r="I250" i="27" s="1"/>
  <c r="I251" i="27" s="1"/>
  <c r="I252" i="27" s="1"/>
  <c r="I253" i="27" s="1"/>
  <c r="I254" i="27" s="1"/>
  <c r="I255" i="27" s="1"/>
  <c r="I256" i="27" s="1"/>
  <c r="I257" i="27" s="1"/>
  <c r="I258" i="27" s="1"/>
  <c r="I259" i="27" s="1"/>
  <c r="I260" i="27" s="1"/>
  <c r="I261" i="27" s="1"/>
  <c r="I262" i="27" s="1"/>
  <c r="I263" i="27" s="1"/>
  <c r="I264" i="27" s="1"/>
  <c r="I265" i="27" s="1"/>
  <c r="I266" i="27" s="1"/>
  <c r="I267" i="27" s="1"/>
  <c r="I268" i="27" s="1"/>
  <c r="I269" i="27" s="1"/>
  <c r="I270" i="27" s="1"/>
  <c r="I271" i="27" s="1"/>
  <c r="I272" i="27" s="1"/>
  <c r="I273" i="27" s="1"/>
  <c r="I274" i="27" s="1"/>
  <c r="I275" i="27" s="1"/>
  <c r="I276" i="27" s="1"/>
  <c r="I277" i="27" s="1"/>
  <c r="I278" i="27" s="1"/>
  <c r="I279" i="27" s="1"/>
  <c r="I280" i="27" s="1"/>
  <c r="I281" i="27" s="1"/>
  <c r="I282" i="27" s="1"/>
  <c r="I283" i="27" s="1"/>
  <c r="I284" i="27" s="1"/>
  <c r="I285" i="27" s="1"/>
  <c r="I286" i="27" s="1"/>
  <c r="I287" i="27" s="1"/>
  <c r="I288" i="27" s="1"/>
  <c r="I289" i="27" s="1"/>
  <c r="I290" i="27" s="1"/>
  <c r="I291" i="27" s="1"/>
  <c r="I292" i="27" s="1"/>
  <c r="I293" i="27" s="1"/>
  <c r="I294" i="27" s="1"/>
  <c r="I295" i="27" s="1"/>
  <c r="I296" i="27" s="1"/>
  <c r="I297" i="27" s="1"/>
  <c r="I298" i="27" s="1"/>
  <c r="I299" i="27" s="1"/>
  <c r="I300" i="27" s="1"/>
  <c r="I301" i="27" s="1"/>
  <c r="I302" i="27" s="1"/>
  <c r="I303" i="27" s="1"/>
  <c r="I304" i="27" s="1"/>
  <c r="I305" i="27" s="1"/>
  <c r="I306" i="27" s="1"/>
  <c r="I307" i="27" s="1"/>
  <c r="I308" i="27" s="1"/>
  <c r="I309" i="27" s="1"/>
  <c r="I310" i="27" s="1"/>
  <c r="I311" i="27" s="1"/>
  <c r="I312" i="27" s="1"/>
  <c r="I313" i="27" s="1"/>
  <c r="I314" i="27" s="1"/>
  <c r="I315" i="27" s="1"/>
  <c r="I316" i="27" s="1"/>
  <c r="I317" i="27" s="1"/>
  <c r="I318" i="27" s="1"/>
  <c r="I319" i="27" s="1"/>
  <c r="I320" i="27" s="1"/>
  <c r="I321" i="27" s="1"/>
  <c r="I322" i="27" s="1"/>
  <c r="I323" i="27" s="1"/>
  <c r="I324" i="27" s="1"/>
  <c r="I325" i="27" s="1"/>
  <c r="I326" i="27" s="1"/>
  <c r="I327" i="27" s="1"/>
  <c r="I328" i="27" s="1"/>
  <c r="I329" i="27" s="1"/>
  <c r="I330" i="27" s="1"/>
  <c r="I331" i="27" s="1"/>
  <c r="I332" i="27" s="1"/>
  <c r="I333" i="27" s="1"/>
  <c r="I334" i="27" s="1"/>
  <c r="I335" i="27" s="1"/>
  <c r="I336" i="27" s="1"/>
  <c r="I337" i="27" s="1"/>
  <c r="I338" i="27" s="1"/>
  <c r="I339" i="27" s="1"/>
  <c r="I340" i="27" s="1"/>
  <c r="I341" i="27" s="1"/>
  <c r="I342" i="27" s="1"/>
  <c r="I343" i="27" s="1"/>
  <c r="I344" i="27" s="1"/>
  <c r="I345" i="27" s="1"/>
  <c r="I346" i="27" s="1"/>
  <c r="I347" i="27" s="1"/>
  <c r="I348" i="27" s="1"/>
  <c r="I349" i="27" s="1"/>
  <c r="I350" i="27" s="1"/>
  <c r="I351" i="27" s="1"/>
  <c r="I352" i="27" s="1"/>
  <c r="I353" i="27" s="1"/>
  <c r="I354" i="27" s="1"/>
  <c r="I355" i="27" s="1"/>
  <c r="I356" i="27" s="1"/>
  <c r="I357" i="27" s="1"/>
  <c r="I358" i="27" s="1"/>
  <c r="I359" i="27" s="1"/>
  <c r="I360" i="27" s="1"/>
  <c r="I361" i="27" s="1"/>
  <c r="I362" i="27" s="1"/>
  <c r="I363" i="27" s="1"/>
  <c r="I364" i="27" s="1"/>
  <c r="I365" i="27" s="1"/>
  <c r="I366" i="27" s="1"/>
  <c r="I367" i="27" s="1"/>
  <c r="I368" i="27" s="1"/>
  <c r="I369" i="27" s="1"/>
  <c r="I370" i="27" s="1"/>
  <c r="I371" i="27" s="1"/>
  <c r="I372" i="27" s="1"/>
  <c r="I373" i="27" s="1"/>
  <c r="I374" i="27" s="1"/>
  <c r="I375" i="27" s="1"/>
  <c r="I376" i="27" s="1"/>
  <c r="I377" i="27" s="1"/>
  <c r="I378" i="27" s="1"/>
  <c r="I379" i="27" s="1"/>
  <c r="I380" i="27" s="1"/>
  <c r="I381" i="27" s="1"/>
  <c r="I382" i="27" s="1"/>
  <c r="I383" i="27" s="1"/>
  <c r="I384" i="27" s="1"/>
  <c r="I385" i="27" s="1"/>
  <c r="I3" i="27"/>
  <c r="I2" i="27"/>
  <c r="H3" i="27"/>
  <c r="H4" i="27"/>
  <c r="H5" i="27"/>
  <c r="H6" i="27"/>
  <c r="H7" i="27"/>
  <c r="H8" i="27"/>
  <c r="H9" i="27"/>
  <c r="H10" i="27"/>
  <c r="H11" i="27"/>
  <c r="H12" i="27"/>
  <c r="H13" i="27"/>
  <c r="H14" i="27"/>
  <c r="H15" i="27"/>
  <c r="H16" i="27"/>
  <c r="H17" i="27"/>
  <c r="H18" i="27"/>
  <c r="H19" i="27"/>
  <c r="H20" i="27"/>
  <c r="H21" i="27"/>
  <c r="H22" i="27"/>
  <c r="H23" i="27"/>
  <c r="H24" i="27"/>
  <c r="H25" i="27"/>
  <c r="H26" i="27"/>
  <c r="H27" i="27"/>
  <c r="H28" i="27"/>
  <c r="H29" i="27"/>
  <c r="H30" i="27"/>
  <c r="H31" i="27"/>
  <c r="H32" i="27"/>
  <c r="H33" i="27"/>
  <c r="H34" i="27"/>
  <c r="H35" i="27"/>
  <c r="H36" i="27"/>
  <c r="H37" i="27"/>
  <c r="H38" i="27"/>
  <c r="H39" i="27"/>
  <c r="H40" i="27"/>
  <c r="H41" i="27"/>
  <c r="H42" i="27"/>
  <c r="H43" i="27"/>
  <c r="H44" i="27"/>
  <c r="H45" i="27"/>
  <c r="H46" i="27"/>
  <c r="H47" i="27"/>
  <c r="H48" i="27"/>
  <c r="H49" i="27"/>
  <c r="H50" i="27"/>
  <c r="H51" i="27"/>
  <c r="H52" i="27"/>
  <c r="H53" i="27"/>
  <c r="H54" i="27"/>
  <c r="H55" i="27"/>
  <c r="H56" i="27"/>
  <c r="H57" i="27"/>
  <c r="H58" i="27"/>
  <c r="H59" i="27"/>
  <c r="H60" i="27"/>
  <c r="H61" i="27"/>
  <c r="H62" i="27"/>
  <c r="H63" i="27"/>
  <c r="H64" i="27"/>
  <c r="H65" i="27"/>
  <c r="H66" i="27"/>
  <c r="H67" i="27"/>
  <c r="H68" i="27"/>
  <c r="H69" i="27"/>
  <c r="H70" i="27"/>
  <c r="H71" i="27"/>
  <c r="H72" i="27"/>
  <c r="H73" i="27"/>
  <c r="H74" i="27"/>
  <c r="H75" i="27"/>
  <c r="H76" i="27"/>
  <c r="H77" i="27"/>
  <c r="H78" i="27"/>
  <c r="H79" i="27"/>
  <c r="H80" i="27"/>
  <c r="H81" i="27"/>
  <c r="H82" i="27"/>
  <c r="H83" i="27"/>
  <c r="H84" i="27"/>
  <c r="H85" i="27"/>
  <c r="H86" i="27"/>
  <c r="H87" i="27"/>
  <c r="H88" i="27"/>
  <c r="H89" i="27"/>
  <c r="H90" i="27"/>
  <c r="H91" i="27"/>
  <c r="H92" i="27"/>
  <c r="H93" i="27"/>
  <c r="H94" i="27"/>
  <c r="H95" i="27"/>
  <c r="H96" i="27"/>
  <c r="H97" i="27"/>
  <c r="H98" i="27"/>
  <c r="H99" i="27"/>
  <c r="H100" i="27"/>
  <c r="H101" i="27"/>
  <c r="H102" i="27"/>
  <c r="H103" i="27"/>
  <c r="H104" i="27"/>
  <c r="H105" i="27"/>
  <c r="H106" i="27"/>
  <c r="H107" i="27"/>
  <c r="H108" i="27"/>
  <c r="H109" i="27"/>
  <c r="H110" i="27"/>
  <c r="H111" i="27"/>
  <c r="H112" i="27"/>
  <c r="H113" i="27"/>
  <c r="H114" i="27"/>
  <c r="H115" i="27"/>
  <c r="H116" i="27"/>
  <c r="H117" i="27"/>
  <c r="H118" i="27"/>
  <c r="H119" i="27"/>
  <c r="H120" i="27"/>
  <c r="H121" i="27"/>
  <c r="H122" i="27"/>
  <c r="H123" i="27"/>
  <c r="H124" i="27"/>
  <c r="H125" i="27"/>
  <c r="H126" i="27"/>
  <c r="H127" i="27"/>
  <c r="H128" i="27"/>
  <c r="H129" i="27"/>
  <c r="H130" i="27"/>
  <c r="H131" i="27"/>
  <c r="H132" i="27"/>
  <c r="H133" i="27"/>
  <c r="H134" i="27"/>
  <c r="H135" i="27"/>
  <c r="H136" i="27"/>
  <c r="H137" i="27"/>
  <c r="H138" i="27"/>
  <c r="H139" i="27"/>
  <c r="H140" i="27"/>
  <c r="H141" i="27"/>
  <c r="H142" i="27"/>
  <c r="H143" i="27"/>
  <c r="H144" i="27"/>
  <c r="H145" i="27"/>
  <c r="H146" i="27"/>
  <c r="H147" i="27"/>
  <c r="H148" i="27"/>
  <c r="H149" i="27"/>
  <c r="H150" i="27"/>
  <c r="H151" i="27"/>
  <c r="H152" i="27"/>
  <c r="H153" i="27"/>
  <c r="H154" i="27"/>
  <c r="H155" i="27"/>
  <c r="H156" i="27"/>
  <c r="H157" i="27"/>
  <c r="H158" i="27"/>
  <c r="H159" i="27"/>
  <c r="H160" i="27"/>
  <c r="H161" i="27"/>
  <c r="H162" i="27"/>
  <c r="H163" i="27"/>
  <c r="H164" i="27"/>
  <c r="H165" i="27"/>
  <c r="H166" i="27"/>
  <c r="H167" i="27"/>
  <c r="H168" i="27"/>
  <c r="H169" i="27"/>
  <c r="H170" i="27"/>
  <c r="H171" i="27"/>
  <c r="H172" i="27"/>
  <c r="H173" i="27"/>
  <c r="H174" i="27"/>
  <c r="H175" i="27"/>
  <c r="H176" i="27"/>
  <c r="H177" i="27"/>
  <c r="H178" i="27"/>
  <c r="H179" i="27"/>
  <c r="H180" i="27"/>
  <c r="H181" i="27"/>
  <c r="H182" i="27"/>
  <c r="H183" i="27"/>
  <c r="H184" i="27"/>
  <c r="H185" i="27"/>
  <c r="H186" i="27"/>
  <c r="H187" i="27"/>
  <c r="H188" i="27"/>
  <c r="H189" i="27"/>
  <c r="H190" i="27"/>
  <c r="H191" i="27"/>
  <c r="H192" i="27"/>
  <c r="H193" i="27"/>
  <c r="H194" i="27"/>
  <c r="H195" i="27"/>
  <c r="H196" i="27"/>
  <c r="H197" i="27"/>
  <c r="H198" i="27"/>
  <c r="H199" i="27"/>
  <c r="H200" i="27"/>
  <c r="H201" i="27"/>
  <c r="H202" i="27"/>
  <c r="H203" i="27"/>
  <c r="H204" i="27"/>
  <c r="H205" i="27"/>
  <c r="H206" i="27"/>
  <c r="H207" i="27"/>
  <c r="H208" i="27"/>
  <c r="H209" i="27"/>
  <c r="H210" i="27"/>
  <c r="H211" i="27"/>
  <c r="H212" i="27"/>
  <c r="H213" i="27"/>
  <c r="H214" i="27"/>
  <c r="H215" i="27"/>
  <c r="H216" i="27"/>
  <c r="H217" i="27"/>
  <c r="H218" i="27"/>
  <c r="H219" i="27"/>
  <c r="H220" i="27"/>
  <c r="H221" i="27"/>
  <c r="H222" i="27"/>
  <c r="H223" i="27"/>
  <c r="H224" i="27"/>
  <c r="H225" i="27"/>
  <c r="H226" i="27"/>
  <c r="H227" i="27"/>
  <c r="H228" i="27"/>
  <c r="H229" i="27"/>
  <c r="H230" i="27"/>
  <c r="H231" i="27"/>
  <c r="H232" i="27"/>
  <c r="H233" i="27"/>
  <c r="H234" i="27"/>
  <c r="H235" i="27"/>
  <c r="H236" i="27"/>
  <c r="H237" i="27"/>
  <c r="H238" i="27"/>
  <c r="H239" i="27"/>
  <c r="H240" i="27"/>
  <c r="H241" i="27"/>
  <c r="H242" i="27"/>
  <c r="H243" i="27"/>
  <c r="H244" i="27"/>
  <c r="H245" i="27"/>
  <c r="H246" i="27"/>
  <c r="H247" i="27"/>
  <c r="H248" i="27"/>
  <c r="H249" i="27"/>
  <c r="H250" i="27"/>
  <c r="H251" i="27"/>
  <c r="H252" i="27"/>
  <c r="H253" i="27"/>
  <c r="H254" i="27"/>
  <c r="H255" i="27"/>
  <c r="H256" i="27"/>
  <c r="H257" i="27"/>
  <c r="H258" i="27"/>
  <c r="H259" i="27"/>
  <c r="H260" i="27"/>
  <c r="H261" i="27"/>
  <c r="H262" i="27"/>
  <c r="H263" i="27"/>
  <c r="H264" i="27"/>
  <c r="H265" i="27"/>
  <c r="H266" i="27"/>
  <c r="H267" i="27"/>
  <c r="H268" i="27"/>
  <c r="H269" i="27"/>
  <c r="H270" i="27"/>
  <c r="H271" i="27"/>
  <c r="H272" i="27"/>
  <c r="H273" i="27"/>
  <c r="H274" i="27"/>
  <c r="H275" i="27"/>
  <c r="H276" i="27"/>
  <c r="H277" i="27"/>
  <c r="H278" i="27"/>
  <c r="H279" i="27"/>
  <c r="H280" i="27"/>
  <c r="H281" i="27"/>
  <c r="H282" i="27"/>
  <c r="H283" i="27"/>
  <c r="H284" i="27"/>
  <c r="H285" i="27"/>
  <c r="H286" i="27"/>
  <c r="H287" i="27"/>
  <c r="H288" i="27"/>
  <c r="H289" i="27"/>
  <c r="H290" i="27"/>
  <c r="H291" i="27"/>
  <c r="H292" i="27"/>
  <c r="H293" i="27"/>
  <c r="H294" i="27"/>
  <c r="H295" i="27"/>
  <c r="H296" i="27"/>
  <c r="H297" i="27"/>
  <c r="H298" i="27"/>
  <c r="H299" i="27"/>
  <c r="H300" i="27"/>
  <c r="H301" i="27"/>
  <c r="H302" i="27"/>
  <c r="H303" i="27"/>
  <c r="H304" i="27"/>
  <c r="H305" i="27"/>
  <c r="H306" i="27"/>
  <c r="H307" i="27"/>
  <c r="H308" i="27"/>
  <c r="H309" i="27"/>
  <c r="H310" i="27"/>
  <c r="H311" i="27"/>
  <c r="H312" i="27"/>
  <c r="H313" i="27"/>
  <c r="H314" i="27"/>
  <c r="H315" i="27"/>
  <c r="H316" i="27"/>
  <c r="H317" i="27"/>
  <c r="H318" i="27"/>
  <c r="H319" i="27"/>
  <c r="H320" i="27"/>
  <c r="H321" i="27"/>
  <c r="H322" i="27"/>
  <c r="H323" i="27"/>
  <c r="H324" i="27"/>
  <c r="H325" i="27"/>
  <c r="H326" i="27"/>
  <c r="H327" i="27"/>
  <c r="H328" i="27"/>
  <c r="H329" i="27"/>
  <c r="H330" i="27"/>
  <c r="H331" i="27"/>
  <c r="H332" i="27"/>
  <c r="H333" i="27"/>
  <c r="H334" i="27"/>
  <c r="H335" i="27"/>
  <c r="H336" i="27"/>
  <c r="H337" i="27"/>
  <c r="H338" i="27"/>
  <c r="H339" i="27"/>
  <c r="H340" i="27"/>
  <c r="H341" i="27"/>
  <c r="H342" i="27"/>
  <c r="H343" i="27"/>
  <c r="H344" i="27"/>
  <c r="H345" i="27"/>
  <c r="H346" i="27"/>
  <c r="H347" i="27"/>
  <c r="H348" i="27"/>
  <c r="H349" i="27"/>
  <c r="H350" i="27"/>
  <c r="H351" i="27"/>
  <c r="H352" i="27"/>
  <c r="H353" i="27"/>
  <c r="H354" i="27"/>
  <c r="H355" i="27"/>
  <c r="H356" i="27"/>
  <c r="H357" i="27"/>
  <c r="H358" i="27"/>
  <c r="H359" i="27"/>
  <c r="H360" i="27"/>
  <c r="H361" i="27"/>
  <c r="H362" i="27"/>
  <c r="H363" i="27"/>
  <c r="H364" i="27"/>
  <c r="H365" i="27"/>
  <c r="H366" i="27"/>
  <c r="H367" i="27"/>
  <c r="H368" i="27"/>
  <c r="H369" i="27"/>
  <c r="H370" i="27"/>
  <c r="H371" i="27"/>
  <c r="H372" i="27"/>
  <c r="H373" i="27"/>
  <c r="H374" i="27"/>
  <c r="H375" i="27"/>
  <c r="H376" i="27"/>
  <c r="H377" i="27"/>
  <c r="H378" i="27"/>
  <c r="H379" i="27"/>
  <c r="H380" i="27"/>
  <c r="H381" i="27"/>
  <c r="H382" i="27"/>
  <c r="H383" i="27"/>
  <c r="H384" i="27"/>
  <c r="H385" i="27"/>
  <c r="H2" i="27"/>
  <c r="G387" i="27"/>
  <c r="E63" i="1"/>
  <c r="E59" i="1"/>
  <c r="G967" i="8" l="1"/>
  <c r="G663" i="8"/>
  <c r="K1567" i="14"/>
  <c r="K1574" i="14"/>
  <c r="J157" i="8"/>
  <c r="J84" i="8"/>
  <c r="J267" i="8"/>
  <c r="J1410" i="8"/>
  <c r="J1411" i="8"/>
  <c r="J1403" i="8"/>
  <c r="J1404" i="8"/>
  <c r="J1396" i="8"/>
  <c r="J1397" i="8"/>
  <c r="J1389" i="8"/>
  <c r="J1390" i="8"/>
  <c r="J1382" i="8"/>
  <c r="J1383" i="8"/>
  <c r="J1375" i="8"/>
  <c r="J1376" i="8"/>
  <c r="J1368" i="8"/>
  <c r="J1369" i="8"/>
  <c r="J1361" i="8"/>
  <c r="J1362" i="8"/>
  <c r="J1354" i="8"/>
  <c r="J1355" i="8"/>
  <c r="J1347" i="8"/>
  <c r="J1348" i="8"/>
  <c r="J1340" i="8"/>
  <c r="J1341" i="8"/>
  <c r="J1333" i="8"/>
  <c r="J1334" i="8"/>
  <c r="J1409" i="8"/>
  <c r="J1402" i="8"/>
  <c r="J1395" i="8"/>
  <c r="J1388" i="8"/>
  <c r="J1381" i="8"/>
  <c r="J1374" i="8"/>
  <c r="J1367" i="8"/>
  <c r="J1360" i="8"/>
  <c r="J1353" i="8"/>
  <c r="J1346" i="8"/>
  <c r="J1339" i="8"/>
  <c r="J1332" i="8"/>
  <c r="J1326" i="8"/>
  <c r="J1327" i="8"/>
  <c r="J1319" i="8"/>
  <c r="J1320" i="8"/>
  <c r="J1312" i="8"/>
  <c r="J1313" i="8"/>
  <c r="J1305" i="8"/>
  <c r="J1306" i="8"/>
  <c r="J1298" i="8"/>
  <c r="J1299" i="8"/>
  <c r="J1297" i="8"/>
  <c r="J1291" i="8"/>
  <c r="J1292" i="8"/>
  <c r="J1284" i="8"/>
  <c r="J1285" i="8"/>
  <c r="J1277" i="8"/>
  <c r="J1278" i="8"/>
  <c r="J1270" i="8"/>
  <c r="J1271" i="8"/>
  <c r="J1263" i="8"/>
  <c r="J1264" i="8"/>
  <c r="J1325" i="8"/>
  <c r="J1318" i="8"/>
  <c r="J1311" i="8"/>
  <c r="J1304" i="8"/>
  <c r="J1290" i="8"/>
  <c r="J1283" i="8"/>
  <c r="J1276" i="8"/>
  <c r="J1269" i="8"/>
  <c r="J1262" i="8"/>
  <c r="J1255" i="8"/>
  <c r="J1256" i="8"/>
  <c r="J1257" i="8"/>
  <c r="J1249" i="8"/>
  <c r="J1250" i="8"/>
  <c r="J1242" i="8"/>
  <c r="J1243" i="8"/>
  <c r="J1235" i="8"/>
  <c r="J1236" i="8"/>
  <c r="J1228" i="8"/>
  <c r="J1229" i="8"/>
  <c r="J1221" i="8"/>
  <c r="J1222" i="8"/>
  <c r="J1214" i="8"/>
  <c r="J1215" i="8"/>
  <c r="J1207" i="8"/>
  <c r="J1208" i="8"/>
  <c r="J1248" i="8"/>
  <c r="J1241" i="8"/>
  <c r="J1234" i="8"/>
  <c r="J1227" i="8"/>
  <c r="J1220" i="8"/>
  <c r="J1213" i="8"/>
  <c r="J1206" i="8"/>
  <c r="I1748" i="8"/>
  <c r="J1748" i="8" s="1"/>
  <c r="I1749" i="8"/>
  <c r="J1749" i="8" s="1"/>
  <c r="I1750" i="8"/>
  <c r="J1750" i="8" s="1"/>
  <c r="I1747" i="8"/>
  <c r="J1747" i="8" s="1"/>
  <c r="K1579" i="14"/>
  <c r="K1578" i="14"/>
  <c r="K1577" i="14"/>
  <c r="K1576" i="14"/>
  <c r="I1751" i="8" l="1"/>
  <c r="E65" i="1"/>
  <c r="E66" i="1"/>
  <c r="J1751" i="8" l="1"/>
  <c r="I659" i="8"/>
  <c r="I658" i="8"/>
  <c r="J658" i="8" s="1"/>
  <c r="I660" i="8" l="1"/>
  <c r="J659" i="8"/>
  <c r="H578" i="8"/>
  <c r="G1032" i="8"/>
  <c r="H1032" i="8" s="1"/>
  <c r="H1033" i="8"/>
  <c r="I1031" i="8"/>
  <c r="I1030" i="8"/>
  <c r="H115" i="8"/>
  <c r="J115" i="8" s="1"/>
  <c r="K150" i="14"/>
  <c r="K151" i="14"/>
  <c r="K152" i="14"/>
  <c r="K153" i="14"/>
  <c r="K154" i="14"/>
  <c r="K149" i="14"/>
  <c r="K647" i="14" l="1"/>
  <c r="K648" i="14"/>
  <c r="K649" i="14"/>
  <c r="K650" i="14"/>
  <c r="K651" i="14"/>
  <c r="K638" i="14"/>
  <c r="K639" i="14"/>
  <c r="K640" i="14"/>
  <c r="K641" i="14"/>
  <c r="K642" i="14"/>
  <c r="K630" i="14"/>
  <c r="K631" i="14"/>
  <c r="K632" i="14"/>
  <c r="K633" i="14"/>
  <c r="K629" i="14"/>
  <c r="K622" i="14"/>
  <c r="K623" i="14"/>
  <c r="K624" i="14"/>
  <c r="K625" i="14"/>
  <c r="K621" i="14"/>
  <c r="K604" i="14"/>
  <c r="K605" i="14"/>
  <c r="K606" i="14"/>
  <c r="K607" i="14"/>
  <c r="K608" i="14"/>
  <c r="K603" i="14"/>
  <c r="K596" i="14"/>
  <c r="K597" i="14"/>
  <c r="K598" i="14"/>
  <c r="K599" i="14"/>
  <c r="K595" i="14"/>
  <c r="K576" i="14"/>
  <c r="K577" i="14"/>
  <c r="K578" i="14"/>
  <c r="K579" i="14"/>
  <c r="K580" i="14"/>
  <c r="K581" i="14"/>
  <c r="K582" i="14"/>
  <c r="K583" i="14"/>
  <c r="K588" i="14"/>
  <c r="K589" i="14"/>
  <c r="K590" i="14"/>
  <c r="K591" i="14"/>
  <c r="K569" i="14"/>
  <c r="K570" i="14"/>
  <c r="K571" i="14"/>
  <c r="K572" i="14"/>
  <c r="K568" i="14"/>
  <c r="K542" i="14"/>
  <c r="K543" i="14"/>
  <c r="K544" i="14"/>
  <c r="K545" i="14"/>
  <c r="K546" i="14"/>
  <c r="K522" i="14"/>
  <c r="K523" i="14"/>
  <c r="K524" i="14"/>
  <c r="K521" i="14"/>
  <c r="K515" i="14"/>
  <c r="K516" i="14"/>
  <c r="K517" i="14"/>
  <c r="K508" i="14"/>
  <c r="K509" i="14"/>
  <c r="K510" i="14"/>
  <c r="K501" i="14"/>
  <c r="K502" i="14"/>
  <c r="K503" i="14"/>
  <c r="K496" i="14"/>
  <c r="K486" i="14"/>
  <c r="K487" i="14"/>
  <c r="K488" i="14"/>
  <c r="K489" i="14"/>
  <c r="K485" i="14"/>
  <c r="K1561" i="14"/>
  <c r="K1562" i="14"/>
  <c r="K1563" i="14"/>
  <c r="K1564" i="14"/>
  <c r="K575" i="14" l="1"/>
  <c r="K520" i="14"/>
  <c r="K646" i="14"/>
  <c r="K656" i="14"/>
  <c r="K657" i="14"/>
  <c r="K658" i="14"/>
  <c r="K659" i="14"/>
  <c r="K660" i="14"/>
  <c r="K661" i="14"/>
  <c r="K662" i="14"/>
  <c r="K655" i="14"/>
  <c r="K667" i="14"/>
  <c r="K668" i="14"/>
  <c r="K669" i="14"/>
  <c r="K670" i="14"/>
  <c r="K671" i="14"/>
  <c r="K666" i="14"/>
  <c r="K676" i="14"/>
  <c r="K677" i="14"/>
  <c r="K675" i="14"/>
  <c r="K682" i="14"/>
  <c r="K683" i="14"/>
  <c r="K684" i="14"/>
  <c r="K681" i="14"/>
  <c r="K694" i="14"/>
  <c r="K693" i="14"/>
  <c r="K699" i="14"/>
  <c r="K704" i="14"/>
  <c r="K703" i="14"/>
  <c r="K709" i="14"/>
  <c r="K710" i="14"/>
  <c r="K708" i="14"/>
  <c r="K715" i="14"/>
  <c r="K714" i="14"/>
  <c r="K720" i="14"/>
  <c r="K719" i="14"/>
  <c r="K725" i="14"/>
  <c r="K724" i="14"/>
  <c r="K730" i="14"/>
  <c r="K729" i="14"/>
  <c r="K735" i="14"/>
  <c r="K736" i="14"/>
  <c r="K734" i="14"/>
  <c r="K741" i="14"/>
  <c r="K742" i="14"/>
  <c r="K743" i="14"/>
  <c r="K740" i="14"/>
  <c r="K748" i="14"/>
  <c r="K749" i="14"/>
  <c r="K750" i="14"/>
  <c r="K747" i="14"/>
  <c r="K755" i="14"/>
  <c r="K756" i="14"/>
  <c r="K757" i="14"/>
  <c r="K754" i="14"/>
  <c r="K762" i="14"/>
  <c r="K763" i="14"/>
  <c r="K764" i="14"/>
  <c r="K761" i="14"/>
  <c r="K769" i="14"/>
  <c r="K770" i="14"/>
  <c r="K771" i="14"/>
  <c r="K768" i="14"/>
  <c r="K776" i="14"/>
  <c r="K777" i="14"/>
  <c r="K782" i="14"/>
  <c r="K783" i="14"/>
  <c r="K781" i="14"/>
  <c r="K788" i="14"/>
  <c r="K789" i="14"/>
  <c r="K787" i="14"/>
  <c r="K798" i="14"/>
  <c r="K799" i="14"/>
  <c r="K800" i="14"/>
  <c r="K801" i="14"/>
  <c r="K802" i="14"/>
  <c r="K797" i="14"/>
  <c r="K808" i="14"/>
  <c r="K809" i="14"/>
  <c r="K810" i="14"/>
  <c r="K811" i="14"/>
  <c r="K812" i="14"/>
  <c r="K813" i="14"/>
  <c r="K814" i="14"/>
  <c r="K807" i="14"/>
  <c r="K820" i="14"/>
  <c r="K821" i="14"/>
  <c r="K822" i="14"/>
  <c r="K819" i="14"/>
  <c r="K828" i="14"/>
  <c r="K829" i="14"/>
  <c r="K830" i="14"/>
  <c r="K827" i="14"/>
  <c r="K836" i="14"/>
  <c r="K837" i="14"/>
  <c r="K838" i="14"/>
  <c r="K835" i="14"/>
  <c r="K844" i="14"/>
  <c r="K845" i="14"/>
  <c r="K846" i="14"/>
  <c r="K847" i="14"/>
  <c r="K848" i="14"/>
  <c r="K843" i="14"/>
  <c r="K854" i="14"/>
  <c r="K855" i="14"/>
  <c r="K853" i="14"/>
  <c r="K861" i="14"/>
  <c r="K862" i="14"/>
  <c r="K860" i="14"/>
  <c r="K904" i="14"/>
  <c r="K905" i="14"/>
  <c r="K906" i="14"/>
  <c r="K907" i="14"/>
  <c r="K908" i="14"/>
  <c r="K909" i="14"/>
  <c r="K903" i="14"/>
  <c r="K915" i="14"/>
  <c r="K916" i="14"/>
  <c r="K917" i="14"/>
  <c r="K918" i="14"/>
  <c r="K924" i="14"/>
  <c r="K923" i="14"/>
  <c r="K947" i="14"/>
  <c r="K958" i="14"/>
  <c r="K959" i="14"/>
  <c r="K960" i="14"/>
  <c r="K966" i="14"/>
  <c r="K967" i="14"/>
  <c r="K968" i="14"/>
  <c r="K969" i="14"/>
  <c r="K970" i="14"/>
  <c r="K975" i="14"/>
  <c r="K994" i="14"/>
  <c r="K993" i="14"/>
  <c r="K999" i="14"/>
  <c r="K1005" i="14"/>
  <c r="K1006" i="14"/>
  <c r="K1007" i="14"/>
  <c r="K1008" i="14"/>
  <c r="K1009" i="14"/>
  <c r="K1010" i="14"/>
  <c r="K1011" i="14"/>
  <c r="K1017" i="14"/>
  <c r="K1018" i="14"/>
  <c r="K1019" i="14"/>
  <c r="K1020" i="14"/>
  <c r="K1021" i="14"/>
  <c r="K1022" i="14"/>
  <c r="K1023" i="14"/>
  <c r="K1016" i="14"/>
  <c r="K1028" i="14"/>
  <c r="K1033" i="14"/>
  <c r="K1038" i="14"/>
  <c r="K1043" i="14"/>
  <c r="K1048" i="14"/>
  <c r="K1053" i="14"/>
  <c r="K1058" i="14"/>
  <c r="K1063" i="14"/>
  <c r="K1061" i="14" s="1"/>
  <c r="K1078" i="14"/>
  <c r="K1083" i="14"/>
  <c r="K1088" i="14"/>
  <c r="K1093" i="14"/>
  <c r="K1091" i="14" s="1"/>
  <c r="K1098" i="14"/>
  <c r="K1096" i="14" s="1"/>
  <c r="K1103" i="14"/>
  <c r="K1101" i="14" s="1"/>
  <c r="K1108" i="14"/>
  <c r="K1106" i="14" s="1"/>
  <c r="K1113" i="14"/>
  <c r="K1123" i="14"/>
  <c r="K1121" i="14" s="1"/>
  <c r="K1128" i="14"/>
  <c r="K1126" i="14" s="1"/>
  <c r="K1133" i="14"/>
  <c r="K1131" i="14" s="1"/>
  <c r="K1138" i="14"/>
  <c r="K1136" i="14" s="1"/>
  <c r="K1148" i="14"/>
  <c r="K1154" i="14"/>
  <c r="K1155" i="14"/>
  <c r="K1156" i="14"/>
  <c r="K1157" i="14"/>
  <c r="K1158" i="14"/>
  <c r="K1159" i="14"/>
  <c r="K1160" i="14"/>
  <c r="K1166" i="14"/>
  <c r="K1167" i="14"/>
  <c r="K1168" i="14"/>
  <c r="K1169" i="14"/>
  <c r="K1170" i="14"/>
  <c r="K1171" i="14"/>
  <c r="K1172" i="14"/>
  <c r="K1178" i="14"/>
  <c r="K1179" i="14"/>
  <c r="K1180" i="14"/>
  <c r="K1177" i="14"/>
  <c r="K1186" i="14"/>
  <c r="K1187" i="14"/>
  <c r="K1193" i="14"/>
  <c r="K1194" i="14"/>
  <c r="K1200" i="14"/>
  <c r="K1201" i="14"/>
  <c r="K1202" i="14"/>
  <c r="K1203" i="14"/>
  <c r="K1204" i="14"/>
  <c r="K1205" i="14"/>
  <c r="K1206" i="14"/>
  <c r="K1212" i="14"/>
  <c r="K1213" i="14"/>
  <c r="K1214" i="14"/>
  <c r="K1215" i="14"/>
  <c r="K1216" i="14"/>
  <c r="K1217" i="14"/>
  <c r="K1218" i="14"/>
  <c r="K1211" i="14"/>
  <c r="K1224" i="14"/>
  <c r="K1225" i="14"/>
  <c r="K1231" i="14"/>
  <c r="K1232" i="14"/>
  <c r="K1230" i="14"/>
  <c r="K1238" i="14"/>
  <c r="K1239" i="14"/>
  <c r="K1237" i="14"/>
  <c r="K1245" i="14"/>
  <c r="K1246" i="14"/>
  <c r="K1244" i="14"/>
  <c r="K1252" i="14"/>
  <c r="K1253" i="14"/>
  <c r="K1254" i="14"/>
  <c r="K1255" i="14"/>
  <c r="K1256" i="14"/>
  <c r="K1251" i="14"/>
  <c r="K1262" i="14"/>
  <c r="K1263" i="14"/>
  <c r="K1264" i="14"/>
  <c r="K1265" i="14"/>
  <c r="K1266" i="14"/>
  <c r="K1267" i="14"/>
  <c r="K1268" i="14"/>
  <c r="K1274" i="14"/>
  <c r="K1275" i="14"/>
  <c r="K1276" i="14"/>
  <c r="K1277" i="14"/>
  <c r="K1278" i="14"/>
  <c r="K1279" i="14"/>
  <c r="K1280" i="14"/>
  <c r="K1273" i="14"/>
  <c r="K1286" i="14"/>
  <c r="K1287" i="14"/>
  <c r="K1288" i="14"/>
  <c r="K1289" i="14"/>
  <c r="K1290" i="14"/>
  <c r="K1291" i="14"/>
  <c r="K1292" i="14"/>
  <c r="K1285" i="14"/>
  <c r="K1298" i="14"/>
  <c r="K1299" i="14"/>
  <c r="K1300" i="14"/>
  <c r="K1301" i="14"/>
  <c r="K1302" i="14"/>
  <c r="K1303" i="14"/>
  <c r="K1304" i="14"/>
  <c r="K1297" i="14"/>
  <c r="K1310" i="14"/>
  <c r="K1311" i="14"/>
  <c r="K1312" i="14"/>
  <c r="K1313" i="14"/>
  <c r="K1314" i="14"/>
  <c r="K1315" i="14"/>
  <c r="K1316" i="14"/>
  <c r="K1309" i="14"/>
  <c r="K1329" i="14"/>
  <c r="K1330" i="14"/>
  <c r="K1331" i="14"/>
  <c r="K1332" i="14"/>
  <c r="K1333" i="14"/>
  <c r="K1328" i="14"/>
  <c r="K1342" i="14"/>
  <c r="K1352" i="14"/>
  <c r="K1370" i="14"/>
  <c r="K1371" i="14"/>
  <c r="K1372" i="14"/>
  <c r="K1373" i="14"/>
  <c r="K1374" i="14"/>
  <c r="K1375" i="14"/>
  <c r="K1376" i="14"/>
  <c r="K1382" i="14"/>
  <c r="K1383" i="14"/>
  <c r="K1384" i="14"/>
  <c r="K1385" i="14"/>
  <c r="K1381" i="14"/>
  <c r="K1391" i="14"/>
  <c r="K1392" i="14"/>
  <c r="K1393" i="14"/>
  <c r="K1394" i="14"/>
  <c r="K1390" i="14"/>
  <c r="K1400" i="14"/>
  <c r="K1401" i="14"/>
  <c r="K1402" i="14"/>
  <c r="K1403" i="14"/>
  <c r="K1399" i="14"/>
  <c r="K1409" i="14"/>
  <c r="K1408" i="14"/>
  <c r="K1415" i="14"/>
  <c r="K1416" i="14"/>
  <c r="K1417" i="14"/>
  <c r="K1414" i="14"/>
  <c r="K1422" i="14"/>
  <c r="K1427" i="14"/>
  <c r="K1443" i="14"/>
  <c r="K1444" i="14"/>
  <c r="K1445" i="14"/>
  <c r="K1442" i="14"/>
  <c r="K1475" i="14"/>
  <c r="K1476" i="14"/>
  <c r="K1477" i="14"/>
  <c r="K1483" i="14"/>
  <c r="K1484" i="14"/>
  <c r="K1490" i="14"/>
  <c r="K1491" i="14"/>
  <c r="K1504" i="14"/>
  <c r="K1505" i="14"/>
  <c r="K1511" i="14"/>
  <c r="K1512" i="14"/>
  <c r="K1513" i="14"/>
  <c r="K1514" i="14"/>
  <c r="K1515" i="14"/>
  <c r="K1510" i="14"/>
  <c r="K1521" i="14"/>
  <c r="K1522" i="14"/>
  <c r="K1523" i="14"/>
  <c r="K1524" i="14"/>
  <c r="K1525" i="14"/>
  <c r="K1520" i="14"/>
  <c r="K1531" i="14"/>
  <c r="K1532" i="14"/>
  <c r="K1533" i="14"/>
  <c r="K1534" i="14"/>
  <c r="K1535" i="14"/>
  <c r="K1536" i="14"/>
  <c r="K1537" i="14"/>
  <c r="K1543" i="14"/>
  <c r="K1544" i="14"/>
  <c r="K551" i="14"/>
  <c r="K552" i="14"/>
  <c r="K553" i="14"/>
  <c r="K554" i="14"/>
  <c r="K555" i="14"/>
  <c r="K550" i="14"/>
  <c r="K535" i="14"/>
  <c r="K536" i="14"/>
  <c r="K537" i="14"/>
  <c r="K534" i="14"/>
  <c r="K478" i="14"/>
  <c r="K479" i="14"/>
  <c r="K480" i="14"/>
  <c r="K481" i="14"/>
  <c r="K470" i="14"/>
  <c r="K471" i="14"/>
  <c r="K472" i="14"/>
  <c r="K473" i="14"/>
  <c r="K462" i="14"/>
  <c r="K463" i="14"/>
  <c r="K464" i="14"/>
  <c r="K465" i="14"/>
  <c r="K461" i="14"/>
  <c r="K454" i="14"/>
  <c r="K455" i="14"/>
  <c r="K456" i="14"/>
  <c r="K457" i="14"/>
  <c r="K453" i="14"/>
  <c r="K446" i="14"/>
  <c r="K447" i="14"/>
  <c r="K448" i="14"/>
  <c r="K449" i="14"/>
  <c r="K439" i="14"/>
  <c r="K440" i="14"/>
  <c r="K441" i="14"/>
  <c r="K438" i="14"/>
  <c r="K432" i="14"/>
  <c r="K433" i="14"/>
  <c r="K434" i="14"/>
  <c r="K431" i="14"/>
  <c r="K425" i="14"/>
  <c r="K426" i="14"/>
  <c r="K427" i="14"/>
  <c r="K424" i="14"/>
  <c r="K418" i="14"/>
  <c r="K419" i="14"/>
  <c r="K420" i="14"/>
  <c r="K417" i="14"/>
  <c r="K412" i="14"/>
  <c r="K413" i="14"/>
  <c r="K404" i="14"/>
  <c r="K405" i="14"/>
  <c r="K406" i="14"/>
  <c r="K407" i="14"/>
  <c r="K403" i="14"/>
  <c r="K392" i="14"/>
  <c r="K393" i="14"/>
  <c r="K394" i="14"/>
  <c r="K395" i="14"/>
  <c r="K396" i="14"/>
  <c r="K397" i="14"/>
  <c r="K398" i="14"/>
  <c r="K399" i="14"/>
  <c r="K386" i="14"/>
  <c r="K387" i="14"/>
  <c r="K380" i="14"/>
  <c r="K373" i="14"/>
  <c r="K361" i="14"/>
  <c r="K362" i="14"/>
  <c r="K363" i="14"/>
  <c r="K364" i="14"/>
  <c r="K365" i="14"/>
  <c r="K366" i="14"/>
  <c r="K360" i="14"/>
  <c r="K355" i="14"/>
  <c r="K356" i="14"/>
  <c r="K348" i="14"/>
  <c r="K349" i="14"/>
  <c r="K350" i="14"/>
  <c r="K347" i="14"/>
  <c r="K342" i="14"/>
  <c r="K343" i="14"/>
  <c r="K335" i="14"/>
  <c r="K336" i="14"/>
  <c r="K327" i="14"/>
  <c r="K328" i="14"/>
  <c r="K329" i="14"/>
  <c r="K320" i="14"/>
  <c r="K321" i="14"/>
  <c r="K322" i="14"/>
  <c r="K319" i="14"/>
  <c r="K313" i="14"/>
  <c r="K314" i="14"/>
  <c r="K315" i="14"/>
  <c r="K312" i="14"/>
  <c r="K306" i="14"/>
  <c r="K307" i="14"/>
  <c r="K308" i="14"/>
  <c r="K299" i="14"/>
  <c r="K300" i="14"/>
  <c r="K292" i="14"/>
  <c r="K293" i="14"/>
  <c r="K291" i="14"/>
  <c r="K285" i="14"/>
  <c r="J284" i="14"/>
  <c r="K279" i="14"/>
  <c r="K280" i="14"/>
  <c r="K281" i="14"/>
  <c r="J272" i="14"/>
  <c r="K273" i="14"/>
  <c r="K260" i="14"/>
  <c r="K261" i="14"/>
  <c r="K262" i="14"/>
  <c r="K263" i="14"/>
  <c r="K264" i="14"/>
  <c r="K254" i="14"/>
  <c r="K244" i="14"/>
  <c r="K237" i="14"/>
  <c r="K232" i="14"/>
  <c r="K233" i="14"/>
  <c r="K231" i="14"/>
  <c r="K226" i="14"/>
  <c r="K227" i="14"/>
  <c r="K225" i="14"/>
  <c r="K221" i="14"/>
  <c r="K220" i="14"/>
  <c r="K219" i="14"/>
  <c r="K218" i="14"/>
  <c r="K213" i="14"/>
  <c r="K214" i="14"/>
  <c r="K212" i="14"/>
  <c r="K205" i="14"/>
  <c r="K206" i="14"/>
  <c r="K207" i="14"/>
  <c r="K208" i="14"/>
  <c r="K204" i="14"/>
  <c r="K200" i="14"/>
  <c r="K199" i="14"/>
  <c r="K198" i="14"/>
  <c r="K184" i="14"/>
  <c r="K185" i="14"/>
  <c r="K186" i="14"/>
  <c r="K187" i="14"/>
  <c r="K183" i="14"/>
  <c r="K179" i="14"/>
  <c r="K178" i="14"/>
  <c r="K177" i="14"/>
  <c r="K176" i="14"/>
  <c r="K171" i="14"/>
  <c r="K172" i="14"/>
  <c r="K170" i="14"/>
  <c r="K165" i="14"/>
  <c r="K166" i="14"/>
  <c r="K164" i="14"/>
  <c r="K159" i="14"/>
  <c r="K160" i="14"/>
  <c r="K158" i="14"/>
  <c r="K145" i="14"/>
  <c r="K144" i="14"/>
  <c r="K137" i="14"/>
  <c r="K140" i="14"/>
  <c r="K138" i="14"/>
  <c r="K133" i="14"/>
  <c r="K132" i="14"/>
  <c r="K128" i="14"/>
  <c r="K127" i="14"/>
  <c r="K123" i="14"/>
  <c r="K122" i="14"/>
  <c r="K118" i="14"/>
  <c r="K117" i="14"/>
  <c r="K113" i="14"/>
  <c r="K112" i="14"/>
  <c r="K108" i="14"/>
  <c r="K107" i="14"/>
  <c r="K103" i="14"/>
  <c r="K102" i="14"/>
  <c r="K97" i="14"/>
  <c r="K92" i="14"/>
  <c r="K88" i="14"/>
  <c r="K87" i="14"/>
  <c r="K83" i="14"/>
  <c r="K82" i="14"/>
  <c r="K77" i="14"/>
  <c r="K78" i="14"/>
  <c r="K73" i="14"/>
  <c r="K72" i="14"/>
  <c r="K68" i="14"/>
  <c r="K67" i="14"/>
  <c r="K63" i="14"/>
  <c r="K62" i="14"/>
  <c r="K58" i="14"/>
  <c r="K57" i="14"/>
  <c r="K52" i="14"/>
  <c r="K53" i="14"/>
  <c r="K692" i="14" l="1"/>
  <c r="K1406" i="14"/>
  <c r="K702" i="14"/>
  <c r="K86" i="14"/>
  <c r="K991" i="14"/>
  <c r="K1508" i="14"/>
  <c r="K1283" i="14"/>
  <c r="K56" i="14"/>
  <c r="K901" i="14"/>
  <c r="E73" i="1" l="1"/>
  <c r="E76" i="1" l="1"/>
  <c r="E74" i="1"/>
  <c r="E77" i="1"/>
  <c r="E371" i="1" l="1"/>
  <c r="E358" i="1"/>
  <c r="E61" i="1"/>
  <c r="D29" i="11"/>
  <c r="D27" i="11"/>
  <c r="D26" i="11"/>
  <c r="D25" i="11"/>
  <c r="D29" i="3"/>
  <c r="D28" i="3"/>
  <c r="D27" i="3"/>
  <c r="D25" i="3"/>
  <c r="H7" i="1" l="1"/>
  <c r="N11" i="15"/>
  <c r="L11" i="15"/>
  <c r="K11" i="15"/>
  <c r="N10" i="15"/>
  <c r="L10" i="15"/>
  <c r="K10" i="15"/>
  <c r="D8" i="15"/>
  <c r="N7" i="15"/>
  <c r="L7" i="15"/>
  <c r="K7" i="15"/>
  <c r="E7" i="15"/>
  <c r="F7" i="15" s="1"/>
  <c r="N6" i="15"/>
  <c r="L6" i="15"/>
  <c r="K6" i="15"/>
  <c r="F6" i="15"/>
  <c r="O11" i="15" l="1"/>
  <c r="P11" i="15" s="1"/>
  <c r="Q11" i="15" s="1"/>
  <c r="O7" i="15"/>
  <c r="P7" i="15" s="1"/>
  <c r="Q7" i="15" s="1"/>
  <c r="O6" i="15"/>
  <c r="P6" i="15" s="1"/>
  <c r="Q6" i="15" s="1"/>
  <c r="O10" i="15"/>
  <c r="P10" i="15" s="1"/>
  <c r="Q10" i="15" s="1"/>
  <c r="F8" i="15"/>
  <c r="F25" i="11" l="1"/>
  <c r="J1741" i="8" l="1"/>
  <c r="I1741" i="8"/>
  <c r="J1740" i="8"/>
  <c r="I1740" i="8"/>
  <c r="J1739" i="8"/>
  <c r="H1739" i="8"/>
  <c r="H1742" i="8" s="1"/>
  <c r="F315" i="1" s="1"/>
  <c r="F245" i="1"/>
  <c r="J1735" i="8"/>
  <c r="I1735" i="8"/>
  <c r="J1734" i="8"/>
  <c r="I1734" i="8"/>
  <c r="J1733" i="8"/>
  <c r="I1733" i="8"/>
  <c r="J1732" i="8"/>
  <c r="H1732" i="8"/>
  <c r="H1736" i="8" s="1"/>
  <c r="F246" i="1" s="1"/>
  <c r="J1728" i="8"/>
  <c r="I1728" i="8"/>
  <c r="J1727" i="8"/>
  <c r="I1727" i="8"/>
  <c r="J1726" i="8"/>
  <c r="I1726" i="8"/>
  <c r="J1725" i="8"/>
  <c r="H1725" i="8"/>
  <c r="H1729" i="8" s="1"/>
  <c r="J1721" i="8"/>
  <c r="I1721" i="8"/>
  <c r="J1720" i="8"/>
  <c r="I1720" i="8"/>
  <c r="J1719" i="8"/>
  <c r="I1719" i="8"/>
  <c r="J1718" i="8"/>
  <c r="H1718" i="8"/>
  <c r="H1722" i="8" s="1"/>
  <c r="F244" i="1" s="1"/>
  <c r="J1714" i="8"/>
  <c r="I1714" i="8"/>
  <c r="J1713" i="8"/>
  <c r="I1713" i="8"/>
  <c r="J1712" i="8"/>
  <c r="I1712" i="8"/>
  <c r="J1711" i="8"/>
  <c r="H1711" i="8"/>
  <c r="H1715" i="8" s="1"/>
  <c r="F243" i="1" s="1"/>
  <c r="J1707" i="8"/>
  <c r="I1706" i="8"/>
  <c r="I1707" i="8"/>
  <c r="J1706" i="8"/>
  <c r="J1705" i="8"/>
  <c r="I1705" i="8"/>
  <c r="J1704" i="8"/>
  <c r="H1704" i="8"/>
  <c r="H1708" i="8" s="1"/>
  <c r="F242" i="1" s="1"/>
  <c r="J1700" i="8"/>
  <c r="I1700" i="8"/>
  <c r="J1699" i="8"/>
  <c r="I1699" i="8"/>
  <c r="J1698" i="8"/>
  <c r="H1698" i="8"/>
  <c r="H1701" i="8" s="1"/>
  <c r="F164" i="1" s="1"/>
  <c r="J1694" i="8"/>
  <c r="I1694" i="8"/>
  <c r="J1693" i="8"/>
  <c r="I1693" i="8"/>
  <c r="J1692" i="8"/>
  <c r="H1692" i="8"/>
  <c r="H1695" i="8" s="1"/>
  <c r="J1687" i="8"/>
  <c r="I1687" i="8"/>
  <c r="I1688" i="8" s="1"/>
  <c r="G162" i="1" s="1"/>
  <c r="J1686" i="8"/>
  <c r="H1686" i="8"/>
  <c r="H1688" i="8" s="1"/>
  <c r="F162" i="1" s="1"/>
  <c r="J1681" i="8"/>
  <c r="I1681" i="8"/>
  <c r="I1682" i="8" s="1"/>
  <c r="G407" i="1" s="1"/>
  <c r="J1680" i="8"/>
  <c r="H1680" i="8"/>
  <c r="H1682" i="8" s="1"/>
  <c r="F407" i="1" s="1"/>
  <c r="J1676" i="8"/>
  <c r="I1676" i="8"/>
  <c r="J1675" i="8"/>
  <c r="I1675" i="8"/>
  <c r="J1674" i="8"/>
  <c r="H1674" i="8"/>
  <c r="H1677" i="8" s="1"/>
  <c r="F316" i="1" s="1"/>
  <c r="J1670" i="8"/>
  <c r="I1670" i="8"/>
  <c r="J1669" i="8"/>
  <c r="I1669" i="8"/>
  <c r="J1668" i="8"/>
  <c r="H1668" i="8"/>
  <c r="H1671" i="8" s="1"/>
  <c r="F319" i="1" s="1"/>
  <c r="J1664" i="8"/>
  <c r="I1664" i="8"/>
  <c r="J1663" i="8"/>
  <c r="I1663" i="8"/>
  <c r="J1662" i="8"/>
  <c r="H1662" i="8"/>
  <c r="H1665" i="8" s="1"/>
  <c r="F324" i="1" s="1"/>
  <c r="J1658" i="8"/>
  <c r="I1658" i="8"/>
  <c r="J1657" i="8"/>
  <c r="I1657" i="8"/>
  <c r="J1656" i="8"/>
  <c r="H1656" i="8"/>
  <c r="H1659" i="8" s="1"/>
  <c r="F323" i="1" s="1"/>
  <c r="J1652" i="8"/>
  <c r="I1652" i="8"/>
  <c r="J1651" i="8"/>
  <c r="I1651" i="8"/>
  <c r="J1650" i="8"/>
  <c r="H1650" i="8"/>
  <c r="H1653" i="8" s="1"/>
  <c r="F322" i="1" s="1"/>
  <c r="J1646" i="8"/>
  <c r="I1646" i="8"/>
  <c r="J1645" i="8"/>
  <c r="I1645" i="8"/>
  <c r="J1644" i="8"/>
  <c r="H1644" i="8"/>
  <c r="H1647" i="8" s="1"/>
  <c r="F321" i="1" s="1"/>
  <c r="J1640" i="8"/>
  <c r="I1640" i="8"/>
  <c r="J1639" i="8"/>
  <c r="I1639" i="8"/>
  <c r="J1638" i="8"/>
  <c r="H1638" i="8"/>
  <c r="H1641" i="8" s="1"/>
  <c r="F320" i="1" s="1"/>
  <c r="J1634" i="8"/>
  <c r="I1634" i="8"/>
  <c r="J1633" i="8"/>
  <c r="I1633" i="8"/>
  <c r="J1632" i="8"/>
  <c r="H1632" i="8"/>
  <c r="H1635" i="8" s="1"/>
  <c r="F318" i="1" s="1"/>
  <c r="J1628" i="8"/>
  <c r="I1628" i="8"/>
  <c r="J1627" i="8"/>
  <c r="I1627" i="8"/>
  <c r="J1626" i="8"/>
  <c r="H1626" i="8"/>
  <c r="H1629" i="8" s="1"/>
  <c r="F317" i="1" s="1"/>
  <c r="I1621" i="8"/>
  <c r="J1621" i="8" s="1"/>
  <c r="I1620" i="8"/>
  <c r="J1620" i="8" s="1"/>
  <c r="H1619" i="8"/>
  <c r="I1614" i="8"/>
  <c r="J1614" i="8" s="1"/>
  <c r="I1613" i="8"/>
  <c r="J1613" i="8" s="1"/>
  <c r="H1612" i="8"/>
  <c r="I1607" i="8"/>
  <c r="J1607" i="8" s="1"/>
  <c r="I1606" i="8"/>
  <c r="J1606" i="8" s="1"/>
  <c r="H1605" i="8"/>
  <c r="I1600" i="8"/>
  <c r="J1600" i="8" s="1"/>
  <c r="I1599" i="8"/>
  <c r="J1599" i="8" s="1"/>
  <c r="H1598" i="8"/>
  <c r="I1593" i="8"/>
  <c r="J1593" i="8" s="1"/>
  <c r="I1592" i="8"/>
  <c r="J1592" i="8" s="1"/>
  <c r="H1591" i="8"/>
  <c r="I1586" i="8"/>
  <c r="J1586" i="8" s="1"/>
  <c r="I1585" i="8"/>
  <c r="J1585" i="8" s="1"/>
  <c r="H1584" i="8"/>
  <c r="I1579" i="8"/>
  <c r="J1579" i="8" s="1"/>
  <c r="I1578" i="8"/>
  <c r="J1578" i="8" s="1"/>
  <c r="H1577" i="8"/>
  <c r="I1572" i="8"/>
  <c r="J1572" i="8" s="1"/>
  <c r="I1571" i="8"/>
  <c r="J1571" i="8" s="1"/>
  <c r="H1570" i="8"/>
  <c r="I1565" i="8"/>
  <c r="J1565" i="8" s="1"/>
  <c r="I1564" i="8"/>
  <c r="J1564" i="8" s="1"/>
  <c r="H1563" i="8"/>
  <c r="I1558" i="8"/>
  <c r="J1558" i="8" s="1"/>
  <c r="I1557" i="8"/>
  <c r="J1557" i="8" s="1"/>
  <c r="H1556" i="8"/>
  <c r="I1551" i="8"/>
  <c r="J1551" i="8" s="1"/>
  <c r="I1550" i="8"/>
  <c r="J1550" i="8" s="1"/>
  <c r="H1549" i="8"/>
  <c r="I1544" i="8"/>
  <c r="J1544" i="8" s="1"/>
  <c r="I1543" i="8"/>
  <c r="J1543" i="8" s="1"/>
  <c r="H1542" i="8"/>
  <c r="I1537" i="8"/>
  <c r="J1537" i="8" s="1"/>
  <c r="I1536" i="8"/>
  <c r="H1535" i="8"/>
  <c r="I1530" i="8"/>
  <c r="J1530" i="8" s="1"/>
  <c r="I1529" i="8"/>
  <c r="J1529" i="8" s="1"/>
  <c r="H1528" i="8"/>
  <c r="I1523" i="8"/>
  <c r="J1523" i="8" s="1"/>
  <c r="I1522" i="8"/>
  <c r="J1522" i="8" s="1"/>
  <c r="H1521" i="8"/>
  <c r="I1516" i="8"/>
  <c r="J1516" i="8" s="1"/>
  <c r="I1515" i="8"/>
  <c r="J1515" i="8" s="1"/>
  <c r="H1514" i="8"/>
  <c r="I1509" i="8"/>
  <c r="J1509" i="8" s="1"/>
  <c r="I1508" i="8"/>
  <c r="J1508" i="8" s="1"/>
  <c r="H1507" i="8"/>
  <c r="I1502" i="8"/>
  <c r="J1502" i="8" s="1"/>
  <c r="I1501" i="8"/>
  <c r="J1501" i="8" s="1"/>
  <c r="H1500" i="8"/>
  <c r="I1495" i="8"/>
  <c r="J1495" i="8" s="1"/>
  <c r="I1494" i="8"/>
  <c r="H1493" i="8"/>
  <c r="I1488" i="8"/>
  <c r="J1488" i="8" s="1"/>
  <c r="I1487" i="8"/>
  <c r="J1487" i="8" s="1"/>
  <c r="H1486" i="8"/>
  <c r="I1481" i="8"/>
  <c r="J1481" i="8" s="1"/>
  <c r="I1480" i="8"/>
  <c r="J1480" i="8" s="1"/>
  <c r="H1479" i="8"/>
  <c r="I1474" i="8"/>
  <c r="J1474" i="8" s="1"/>
  <c r="I1473" i="8"/>
  <c r="J1473" i="8" s="1"/>
  <c r="H1472" i="8"/>
  <c r="I1467" i="8"/>
  <c r="J1467" i="8" s="1"/>
  <c r="I1466" i="8"/>
  <c r="H1465" i="8"/>
  <c r="I1460" i="8"/>
  <c r="J1460" i="8" s="1"/>
  <c r="I1459" i="8"/>
  <c r="J1459" i="8" s="1"/>
  <c r="H1458" i="8"/>
  <c r="I1453" i="8"/>
  <c r="J1453" i="8" s="1"/>
  <c r="I1452" i="8"/>
  <c r="H1451" i="8"/>
  <c r="I1446" i="8"/>
  <c r="J1446" i="8" s="1"/>
  <c r="I1445" i="8"/>
  <c r="J1445" i="8" s="1"/>
  <c r="H1444" i="8"/>
  <c r="I1439" i="8"/>
  <c r="J1439" i="8" s="1"/>
  <c r="I1438" i="8"/>
  <c r="J1438" i="8" s="1"/>
  <c r="H1437" i="8"/>
  <c r="I1432" i="8"/>
  <c r="J1432" i="8" s="1"/>
  <c r="I1431" i="8"/>
  <c r="J1431" i="8" s="1"/>
  <c r="H1430" i="8"/>
  <c r="I1425" i="8"/>
  <c r="J1425" i="8" s="1"/>
  <c r="I1424" i="8"/>
  <c r="J1424" i="8" s="1"/>
  <c r="H1423" i="8"/>
  <c r="I1418" i="8"/>
  <c r="J1418" i="8" s="1"/>
  <c r="I1417" i="8"/>
  <c r="J1417" i="8" s="1"/>
  <c r="H1416" i="8"/>
  <c r="I1411" i="8"/>
  <c r="I1410" i="8"/>
  <c r="H1409" i="8"/>
  <c r="H1412" i="8" s="1"/>
  <c r="I1404" i="8"/>
  <c r="I1403" i="8"/>
  <c r="H1402" i="8"/>
  <c r="H1405" i="8" s="1"/>
  <c r="I1397" i="8"/>
  <c r="I1396" i="8"/>
  <c r="H1395" i="8"/>
  <c r="H1398" i="8" s="1"/>
  <c r="I1390" i="8"/>
  <c r="I1389" i="8"/>
  <c r="H1388" i="8"/>
  <c r="H1391" i="8" s="1"/>
  <c r="F271" i="1" s="1"/>
  <c r="I1383" i="8"/>
  <c r="I1382" i="8"/>
  <c r="H1381" i="8"/>
  <c r="H1384" i="8" s="1"/>
  <c r="I1376" i="8"/>
  <c r="I1375" i="8"/>
  <c r="H1374" i="8"/>
  <c r="H1377" i="8" s="1"/>
  <c r="F270" i="1" s="1"/>
  <c r="I1369" i="8"/>
  <c r="I1368" i="8"/>
  <c r="H1367" i="8"/>
  <c r="H1370" i="8" s="1"/>
  <c r="I1362" i="8"/>
  <c r="I1361" i="8"/>
  <c r="H1360" i="8"/>
  <c r="H1363" i="8" s="1"/>
  <c r="F268" i="1" s="1"/>
  <c r="I1355" i="8"/>
  <c r="I1354" i="8"/>
  <c r="H1353" i="8"/>
  <c r="H1356" i="8" s="1"/>
  <c r="F267" i="1" s="1"/>
  <c r="I1348" i="8"/>
  <c r="I1347" i="8"/>
  <c r="H1346" i="8"/>
  <c r="H1349" i="8" s="1"/>
  <c r="F266" i="1" s="1"/>
  <c r="I1341" i="8"/>
  <c r="I1340" i="8"/>
  <c r="H1339" i="8"/>
  <c r="H1342" i="8" s="1"/>
  <c r="I1334" i="8"/>
  <c r="I1333" i="8"/>
  <c r="H1332" i="8"/>
  <c r="H1335" i="8" s="1"/>
  <c r="F264" i="1" s="1"/>
  <c r="I1327" i="8"/>
  <c r="I1326" i="8"/>
  <c r="H1325" i="8"/>
  <c r="H1328" i="8" s="1"/>
  <c r="I1320" i="8"/>
  <c r="I1319" i="8"/>
  <c r="H1318" i="8"/>
  <c r="H1321" i="8" s="1"/>
  <c r="I1313" i="8"/>
  <c r="I1312" i="8"/>
  <c r="H1311" i="8"/>
  <c r="H1314" i="8" s="1"/>
  <c r="F262" i="1" s="1"/>
  <c r="I1306" i="8"/>
  <c r="I1305" i="8"/>
  <c r="H1304" i="8"/>
  <c r="H1307" i="8" s="1"/>
  <c r="I1299" i="8"/>
  <c r="I1298" i="8"/>
  <c r="H1297" i="8"/>
  <c r="H1300" i="8" s="1"/>
  <c r="F260" i="1" s="1"/>
  <c r="I1292" i="8"/>
  <c r="I1291" i="8"/>
  <c r="H1290" i="8"/>
  <c r="H1293" i="8" s="1"/>
  <c r="I1285" i="8"/>
  <c r="I1284" i="8"/>
  <c r="H1283" i="8"/>
  <c r="H1286" i="8" s="1"/>
  <c r="F258" i="1" s="1"/>
  <c r="I1278" i="8"/>
  <c r="I1277" i="8"/>
  <c r="H1276" i="8"/>
  <c r="H1279" i="8" s="1"/>
  <c r="F257" i="1" s="1"/>
  <c r="I1271" i="8"/>
  <c r="I1270" i="8"/>
  <c r="H1269" i="8"/>
  <c r="H1272" i="8" s="1"/>
  <c r="F256" i="1" s="1"/>
  <c r="I1264" i="8"/>
  <c r="I1263" i="8"/>
  <c r="H1262" i="8"/>
  <c r="H1265" i="8" s="1"/>
  <c r="F255" i="1" s="1"/>
  <c r="I1257" i="8"/>
  <c r="I1256" i="8"/>
  <c r="H1255" i="8"/>
  <c r="H1258" i="8" s="1"/>
  <c r="F254" i="1" s="1"/>
  <c r="I1250" i="8"/>
  <c r="I1249" i="8"/>
  <c r="H1248" i="8"/>
  <c r="H1251" i="8" s="1"/>
  <c r="I1243" i="8"/>
  <c r="I1242" i="8"/>
  <c r="H1241" i="8"/>
  <c r="H1244" i="8" s="1"/>
  <c r="I1236" i="8"/>
  <c r="I1235" i="8"/>
  <c r="H1234" i="8"/>
  <c r="H1237" i="8" s="1"/>
  <c r="I1229" i="8"/>
  <c r="I1228" i="8"/>
  <c r="H1227" i="8"/>
  <c r="H1230" i="8" s="1"/>
  <c r="F250" i="1" s="1"/>
  <c r="I1222" i="8"/>
  <c r="I1221" i="8"/>
  <c r="H1220" i="8"/>
  <c r="H1223" i="8" s="1"/>
  <c r="F249" i="1" s="1"/>
  <c r="I1215" i="8"/>
  <c r="I1214" i="8"/>
  <c r="H1213" i="8"/>
  <c r="H1216" i="8" s="1"/>
  <c r="F248" i="1" s="1"/>
  <c r="I1208" i="8"/>
  <c r="I1207" i="8"/>
  <c r="H1206" i="8"/>
  <c r="H1209" i="8" s="1"/>
  <c r="F247" i="1" s="1"/>
  <c r="J1201" i="8"/>
  <c r="I1201" i="8"/>
  <c r="J1200" i="8"/>
  <c r="I1200" i="8"/>
  <c r="J1199" i="8"/>
  <c r="H1199" i="8"/>
  <c r="H1202" i="8" s="1"/>
  <c r="F240" i="1" s="1"/>
  <c r="J1194" i="8"/>
  <c r="I1194" i="8"/>
  <c r="J1193" i="8"/>
  <c r="I1193" i="8"/>
  <c r="J1192" i="8"/>
  <c r="H1192" i="8"/>
  <c r="H1195" i="8" s="1"/>
  <c r="F239" i="1" s="1"/>
  <c r="J1187" i="8"/>
  <c r="I1187" i="8"/>
  <c r="J1186" i="8"/>
  <c r="I1186" i="8"/>
  <c r="J1185" i="8"/>
  <c r="H1185" i="8"/>
  <c r="H1188" i="8" s="1"/>
  <c r="F238" i="1" s="1"/>
  <c r="J1180" i="8"/>
  <c r="I1180" i="8"/>
  <c r="J1179" i="8"/>
  <c r="I1179" i="8"/>
  <c r="J1178" i="8"/>
  <c r="H1178" i="8"/>
  <c r="H1181" i="8" s="1"/>
  <c r="F237" i="1" s="1"/>
  <c r="J1173" i="8"/>
  <c r="I1173" i="8"/>
  <c r="J1172" i="8"/>
  <c r="I1172" i="8"/>
  <c r="J1171" i="8"/>
  <c r="H1171" i="8"/>
  <c r="H1174" i="8" s="1"/>
  <c r="F236" i="1" s="1"/>
  <c r="J1166" i="8"/>
  <c r="I1166" i="8"/>
  <c r="J1165" i="8"/>
  <c r="I1165" i="8"/>
  <c r="J1164" i="8"/>
  <c r="H1164" i="8"/>
  <c r="H1167" i="8" s="1"/>
  <c r="F235" i="1" s="1"/>
  <c r="J1159" i="8"/>
  <c r="I1159" i="8"/>
  <c r="I1160" i="8" s="1"/>
  <c r="G406" i="1" s="1"/>
  <c r="J1158" i="8"/>
  <c r="H1158" i="8"/>
  <c r="H1160" i="8" s="1"/>
  <c r="F328" i="1" s="1"/>
  <c r="J1153" i="8"/>
  <c r="I1153" i="8"/>
  <c r="I1154" i="8" s="1"/>
  <c r="G295" i="1" s="1"/>
  <c r="J1152" i="8"/>
  <c r="H1152" i="8"/>
  <c r="H1154" i="8" s="1"/>
  <c r="F295" i="1" s="1"/>
  <c r="J1147" i="8"/>
  <c r="I1147" i="8"/>
  <c r="I1148" i="8" s="1"/>
  <c r="J1146" i="8"/>
  <c r="H1146" i="8"/>
  <c r="H1148" i="8" s="1"/>
  <c r="F329" i="1" s="1"/>
  <c r="J1141" i="8"/>
  <c r="I1141" i="8"/>
  <c r="I1142" i="8" s="1"/>
  <c r="G230" i="1" s="1"/>
  <c r="J1140" i="8"/>
  <c r="H1140" i="8"/>
  <c r="H1142" i="8" s="1"/>
  <c r="F230" i="1" s="1"/>
  <c r="J1135" i="8"/>
  <c r="I1135" i="8"/>
  <c r="I1136" i="8" s="1"/>
  <c r="G229" i="1" s="1"/>
  <c r="J1134" i="8"/>
  <c r="H1134" i="8"/>
  <c r="H1136" i="8" s="1"/>
  <c r="F229" i="1" s="1"/>
  <c r="J1129" i="8"/>
  <c r="I1129" i="8"/>
  <c r="I1130" i="8" s="1"/>
  <c r="G228" i="1" s="1"/>
  <c r="J1128" i="8"/>
  <c r="H1128" i="8"/>
  <c r="H1130" i="8" s="1"/>
  <c r="F228" i="1" s="1"/>
  <c r="J1123" i="8"/>
  <c r="I1123" i="8"/>
  <c r="I1124" i="8" s="1"/>
  <c r="G227" i="1" s="1"/>
  <c r="J1122" i="8"/>
  <c r="H1122" i="8"/>
  <c r="H1124" i="8" s="1"/>
  <c r="F227" i="1" s="1"/>
  <c r="J1117" i="8"/>
  <c r="I1117" i="8"/>
  <c r="J1116" i="8"/>
  <c r="I1116" i="8"/>
  <c r="J1115" i="8"/>
  <c r="H1115" i="8"/>
  <c r="H1118" i="8" s="1"/>
  <c r="F226" i="1" s="1"/>
  <c r="F225" i="1"/>
  <c r="J1110" i="8"/>
  <c r="I1110" i="8"/>
  <c r="J1109" i="8"/>
  <c r="I1109" i="8"/>
  <c r="J1108" i="8"/>
  <c r="H1108" i="8"/>
  <c r="H1111" i="8" s="1"/>
  <c r="J1103" i="8"/>
  <c r="I1103" i="8"/>
  <c r="J1102" i="8"/>
  <c r="I1102" i="8"/>
  <c r="J1101" i="8"/>
  <c r="H1101" i="8"/>
  <c r="H1104" i="8" s="1"/>
  <c r="F223" i="1" s="1"/>
  <c r="J1096" i="8"/>
  <c r="I1096" i="8"/>
  <c r="J1095" i="8"/>
  <c r="I1095" i="8"/>
  <c r="J1094" i="8"/>
  <c r="H1094" i="8"/>
  <c r="H1097" i="8" s="1"/>
  <c r="F222" i="1" s="1"/>
  <c r="J1089" i="8"/>
  <c r="I1089" i="8"/>
  <c r="J1088" i="8"/>
  <c r="I1088" i="8"/>
  <c r="J1087" i="8"/>
  <c r="H1087" i="8"/>
  <c r="H1090" i="8" s="1"/>
  <c r="F221" i="1" s="1"/>
  <c r="J1082" i="8"/>
  <c r="I1082" i="8"/>
  <c r="J1081" i="8"/>
  <c r="I1081" i="8"/>
  <c r="J1080" i="8"/>
  <c r="H1080" i="8"/>
  <c r="H1083" i="8" s="1"/>
  <c r="F220" i="1" s="1"/>
  <c r="J1075" i="8"/>
  <c r="I1075" i="8"/>
  <c r="J1074" i="8"/>
  <c r="I1074" i="8"/>
  <c r="J1073" i="8"/>
  <c r="H1073" i="8"/>
  <c r="H1076" i="8" s="1"/>
  <c r="F219" i="1" s="1"/>
  <c r="J1068" i="8"/>
  <c r="I1068" i="8"/>
  <c r="J1067" i="8"/>
  <c r="I1067" i="8"/>
  <c r="J1066" i="8"/>
  <c r="H1066" i="8"/>
  <c r="H1069" i="8" s="1"/>
  <c r="F218" i="1" s="1"/>
  <c r="J1061" i="8"/>
  <c r="I1061" i="8"/>
  <c r="J1060" i="8"/>
  <c r="I1060" i="8"/>
  <c r="J1059" i="8"/>
  <c r="H1059" i="8"/>
  <c r="H1062" i="8" s="1"/>
  <c r="F217" i="1" s="1"/>
  <c r="J1054" i="8"/>
  <c r="I1054" i="8"/>
  <c r="J1053" i="8"/>
  <c r="I1053" i="8"/>
  <c r="J1052" i="8"/>
  <c r="H1052" i="8"/>
  <c r="H1055" i="8" s="1"/>
  <c r="F216" i="1" s="1"/>
  <c r="J1047" i="8"/>
  <c r="I1047" i="8"/>
  <c r="J1046" i="8"/>
  <c r="I1046" i="8"/>
  <c r="J1045" i="8"/>
  <c r="H1045" i="8"/>
  <c r="H1048" i="8" s="1"/>
  <c r="F215" i="1" s="1"/>
  <c r="J1040" i="8"/>
  <c r="I1040" i="8"/>
  <c r="J1039" i="8"/>
  <c r="I1039" i="8"/>
  <c r="J1038" i="8"/>
  <c r="H1038" i="8"/>
  <c r="H1041" i="8" s="1"/>
  <c r="F214" i="1" s="1"/>
  <c r="J1062" i="8" l="1"/>
  <c r="I1181" i="8"/>
  <c r="G237" i="1" s="1"/>
  <c r="H1447" i="8"/>
  <c r="F277" i="1" s="1"/>
  <c r="J1444" i="8"/>
  <c r="I1538" i="8"/>
  <c r="G290" i="1" s="1"/>
  <c r="J1536" i="8"/>
  <c r="H1587" i="8"/>
  <c r="F288" i="1" s="1"/>
  <c r="J1584" i="8"/>
  <c r="H1496" i="8"/>
  <c r="J1493" i="8"/>
  <c r="I1496" i="8"/>
  <c r="G282" i="1" s="1"/>
  <c r="J1494" i="8"/>
  <c r="H1545" i="8"/>
  <c r="F291" i="1" s="1"/>
  <c r="J1542" i="8"/>
  <c r="H1454" i="8"/>
  <c r="F278" i="1" s="1"/>
  <c r="J1451" i="8"/>
  <c r="H1594" i="8"/>
  <c r="F289" i="1" s="1"/>
  <c r="J1591" i="8"/>
  <c r="I1454" i="8"/>
  <c r="G278" i="1" s="1"/>
  <c r="J1452" i="8"/>
  <c r="H1503" i="8"/>
  <c r="F283" i="1" s="1"/>
  <c r="J1500" i="8"/>
  <c r="H1552" i="8"/>
  <c r="J1549" i="8"/>
  <c r="H1461" i="8"/>
  <c r="F279" i="1" s="1"/>
  <c r="J1458" i="8"/>
  <c r="H1601" i="8"/>
  <c r="F301" i="1" s="1"/>
  <c r="J1598" i="8"/>
  <c r="H1510" i="8"/>
  <c r="F284" i="1" s="1"/>
  <c r="J1507" i="8"/>
  <c r="I1370" i="8"/>
  <c r="G269" i="1" s="1"/>
  <c r="H1419" i="8"/>
  <c r="F273" i="1" s="1"/>
  <c r="J1416" i="8"/>
  <c r="H1559" i="8"/>
  <c r="F292" i="1" s="1"/>
  <c r="J1556" i="8"/>
  <c r="I1468" i="8"/>
  <c r="J1466" i="8"/>
  <c r="H1468" i="8"/>
  <c r="J1468" i="8" s="1"/>
  <c r="J1465" i="8"/>
  <c r="H1517" i="8"/>
  <c r="F285" i="1" s="1"/>
  <c r="J1514" i="8"/>
  <c r="H1426" i="8"/>
  <c r="F274" i="1" s="1"/>
  <c r="J1423" i="8"/>
  <c r="H1566" i="8"/>
  <c r="F296" i="1" s="1"/>
  <c r="J1563" i="8"/>
  <c r="H1475" i="8"/>
  <c r="J1472" i="8"/>
  <c r="H1615" i="8"/>
  <c r="F303" i="1" s="1"/>
  <c r="J1612" i="8"/>
  <c r="H1524" i="8"/>
  <c r="F286" i="1" s="1"/>
  <c r="J1521" i="8"/>
  <c r="H1433" i="8"/>
  <c r="F275" i="1" s="1"/>
  <c r="J1430" i="8"/>
  <c r="H1573" i="8"/>
  <c r="F298" i="1" s="1"/>
  <c r="J1570" i="8"/>
  <c r="H1538" i="8"/>
  <c r="J1538" i="8" s="1"/>
  <c r="J1535" i="8"/>
  <c r="H1482" i="8"/>
  <c r="F280" i="1" s="1"/>
  <c r="J1479" i="8"/>
  <c r="H1622" i="8"/>
  <c r="F304" i="1" s="1"/>
  <c r="J1619" i="8"/>
  <c r="H1531" i="8"/>
  <c r="F287" i="1" s="1"/>
  <c r="J1528" i="8"/>
  <c r="H1440" i="8"/>
  <c r="F276" i="1" s="1"/>
  <c r="J1437" i="8"/>
  <c r="H1580" i="8"/>
  <c r="F299" i="1" s="1"/>
  <c r="J1577" i="8"/>
  <c r="H1608" i="8"/>
  <c r="F302" i="1" s="1"/>
  <c r="J1605" i="8"/>
  <c r="H1489" i="8"/>
  <c r="F281" i="1" s="1"/>
  <c r="J1486" i="8"/>
  <c r="J1148" i="8"/>
  <c r="I1293" i="8"/>
  <c r="G259" i="1" s="1"/>
  <c r="I1573" i="8"/>
  <c r="G298" i="1" s="1"/>
  <c r="I1321" i="8"/>
  <c r="G263" i="1" s="1"/>
  <c r="I1601" i="8"/>
  <c r="G301" i="1" s="1"/>
  <c r="I1048" i="8"/>
  <c r="G215" i="1" s="1"/>
  <c r="I1279" i="8"/>
  <c r="G257" i="1" s="1"/>
  <c r="I1742" i="8"/>
  <c r="G315" i="1" s="1"/>
  <c r="I1622" i="8"/>
  <c r="G304" i="1" s="1"/>
  <c r="I1580" i="8"/>
  <c r="G299" i="1" s="1"/>
  <c r="I1447" i="8"/>
  <c r="G277" i="1" s="1"/>
  <c r="I1195" i="8"/>
  <c r="G239" i="1" s="1"/>
  <c r="I1412" i="8"/>
  <c r="G272" i="1" s="1"/>
  <c r="I1377" i="8"/>
  <c r="G270" i="1" s="1"/>
  <c r="F408" i="1"/>
  <c r="F231" i="1"/>
  <c r="F330" i="1"/>
  <c r="F154" i="1"/>
  <c r="F310" i="1"/>
  <c r="F160" i="1"/>
  <c r="J1688" i="8"/>
  <c r="I1188" i="8"/>
  <c r="G238" i="1" s="1"/>
  <c r="I1489" i="8"/>
  <c r="G281" i="1" s="1"/>
  <c r="I1237" i="8"/>
  <c r="G251" i="1" s="1"/>
  <c r="I1244" i="8"/>
  <c r="G252" i="1" s="1"/>
  <c r="G328" i="1"/>
  <c r="I1209" i="8"/>
  <c r="G247" i="1" s="1"/>
  <c r="I1391" i="8"/>
  <c r="G271" i="1" s="1"/>
  <c r="I1641" i="8"/>
  <c r="G320" i="1" s="1"/>
  <c r="I1440" i="8"/>
  <c r="G276" i="1" s="1"/>
  <c r="F157" i="1"/>
  <c r="I1545" i="8"/>
  <c r="G291" i="1" s="1"/>
  <c r="I1729" i="8"/>
  <c r="G245" i="1" s="1"/>
  <c r="I1405" i="8"/>
  <c r="J1405" i="8" s="1"/>
  <c r="I1736" i="8"/>
  <c r="G246" i="1" s="1"/>
  <c r="I1328" i="8"/>
  <c r="J1328" i="8" s="1"/>
  <c r="I1503" i="8"/>
  <c r="G283" i="1" s="1"/>
  <c r="I1587" i="8"/>
  <c r="G288" i="1" s="1"/>
  <c r="F314" i="1"/>
  <c r="I1722" i="8"/>
  <c r="G244" i="1" s="1"/>
  <c r="G308" i="1"/>
  <c r="I1426" i="8"/>
  <c r="G274" i="1" s="1"/>
  <c r="I1510" i="8"/>
  <c r="G284" i="1" s="1"/>
  <c r="I1594" i="8"/>
  <c r="G289" i="1" s="1"/>
  <c r="F311" i="1"/>
  <c r="G310" i="1"/>
  <c r="G293" i="1"/>
  <c r="I1251" i="8"/>
  <c r="G253" i="1" s="1"/>
  <c r="I1384" i="8"/>
  <c r="J1384" i="8" s="1"/>
  <c r="G311" i="1"/>
  <c r="I1653" i="8"/>
  <c r="G322" i="1" s="1"/>
  <c r="F331" i="1"/>
  <c r="G331" i="1"/>
  <c r="J1729" i="8"/>
  <c r="I1524" i="8"/>
  <c r="G286" i="1" s="1"/>
  <c r="I1482" i="8"/>
  <c r="G280" i="1" s="1"/>
  <c r="I1677" i="8"/>
  <c r="G316" i="1" s="1"/>
  <c r="J1715" i="8"/>
  <c r="J1124" i="8"/>
  <c r="I1715" i="8"/>
  <c r="G243" i="1" s="1"/>
  <c r="J1742" i="8"/>
  <c r="J1736" i="8"/>
  <c r="J1722" i="8"/>
  <c r="I1708" i="8"/>
  <c r="G242" i="1" s="1"/>
  <c r="J1708" i="8"/>
  <c r="I1695" i="8"/>
  <c r="G332" i="1" s="1"/>
  <c r="J1647" i="8"/>
  <c r="I1629" i="8"/>
  <c r="G317" i="1" s="1"/>
  <c r="J1629" i="8"/>
  <c r="I1615" i="8"/>
  <c r="G303" i="1" s="1"/>
  <c r="I1559" i="8"/>
  <c r="G292" i="1" s="1"/>
  <c r="I1552" i="8"/>
  <c r="J1552" i="8" s="1"/>
  <c r="I1531" i="8"/>
  <c r="G287" i="1" s="1"/>
  <c r="I1461" i="8"/>
  <c r="G279" i="1" s="1"/>
  <c r="I1433" i="8"/>
  <c r="G275" i="1" s="1"/>
  <c r="I1419" i="8"/>
  <c r="G273" i="1" s="1"/>
  <c r="I1398" i="8"/>
  <c r="J1398" i="8" s="1"/>
  <c r="I1356" i="8"/>
  <c r="G267" i="1" s="1"/>
  <c r="I1349" i="8"/>
  <c r="G266" i="1" s="1"/>
  <c r="I1342" i="8"/>
  <c r="G265" i="1" s="1"/>
  <c r="I1335" i="8"/>
  <c r="G264" i="1" s="1"/>
  <c r="I1307" i="8"/>
  <c r="G261" i="1" s="1"/>
  <c r="I1300" i="8"/>
  <c r="G260" i="1" s="1"/>
  <c r="I1286" i="8"/>
  <c r="G258" i="1" s="1"/>
  <c r="I1230" i="8"/>
  <c r="G250" i="1" s="1"/>
  <c r="I1223" i="8"/>
  <c r="G249" i="1" s="1"/>
  <c r="I1167" i="8"/>
  <c r="G235" i="1" s="1"/>
  <c r="G233" i="1"/>
  <c r="G208" i="1"/>
  <c r="G211" i="1"/>
  <c r="I1118" i="8"/>
  <c r="G226" i="1" s="1"/>
  <c r="I1647" i="8"/>
  <c r="G321" i="1" s="1"/>
  <c r="F253" i="1"/>
  <c r="J1181" i="8"/>
  <c r="F211" i="1"/>
  <c r="I1097" i="8"/>
  <c r="G222" i="1" s="1"/>
  <c r="I1090" i="8"/>
  <c r="G221" i="1" s="1"/>
  <c r="I1062" i="8"/>
  <c r="G217" i="1" s="1"/>
  <c r="I1055" i="8"/>
  <c r="G216" i="1" s="1"/>
  <c r="J1055" i="8"/>
  <c r="G294" i="1"/>
  <c r="G210" i="1"/>
  <c r="G408" i="1"/>
  <c r="G231" i="1"/>
  <c r="G309" i="1"/>
  <c r="G329" i="1"/>
  <c r="G159" i="1"/>
  <c r="G153" i="1"/>
  <c r="F163" i="1"/>
  <c r="F332" i="1"/>
  <c r="F312" i="1"/>
  <c r="F334" i="1"/>
  <c r="I1069" i="8"/>
  <c r="G218" i="1" s="1"/>
  <c r="F232" i="1"/>
  <c r="F152" i="1"/>
  <c r="G154" i="1"/>
  <c r="F409" i="1"/>
  <c r="F293" i="1"/>
  <c r="I1265" i="8"/>
  <c r="G255" i="1" s="1"/>
  <c r="F259" i="1"/>
  <c r="F265" i="1"/>
  <c r="F307" i="1"/>
  <c r="F406" i="1"/>
  <c r="J1083" i="8"/>
  <c r="G232" i="1"/>
  <c r="F158" i="1"/>
  <c r="G160" i="1"/>
  <c r="G409" i="1"/>
  <c r="G330" i="1"/>
  <c r="F294" i="1"/>
  <c r="J1641" i="8"/>
  <c r="J1665" i="8"/>
  <c r="G307" i="1"/>
  <c r="I1701" i="8"/>
  <c r="G314" i="1" s="1"/>
  <c r="J1136" i="8"/>
  <c r="F210" i="1"/>
  <c r="F153" i="1"/>
  <c r="G152" i="1"/>
  <c r="J1188" i="8"/>
  <c r="F308" i="1"/>
  <c r="F251" i="1"/>
  <c r="F261" i="1"/>
  <c r="F272" i="1"/>
  <c r="I1517" i="8"/>
  <c r="G285" i="1" s="1"/>
  <c r="I1635" i="8"/>
  <c r="G318" i="1" s="1"/>
  <c r="I1665" i="8"/>
  <c r="G324" i="1" s="1"/>
  <c r="F327" i="1"/>
  <c r="J1076" i="8"/>
  <c r="J1104" i="8"/>
  <c r="F159" i="1"/>
  <c r="G158" i="1"/>
  <c r="J1202" i="8"/>
  <c r="F309" i="1"/>
  <c r="F252" i="1"/>
  <c r="I1272" i="8"/>
  <c r="G256" i="1" s="1"/>
  <c r="I1475" i="8"/>
  <c r="J1475" i="8" s="1"/>
  <c r="J1635" i="8"/>
  <c r="G327" i="1"/>
  <c r="G157" i="1"/>
  <c r="I1076" i="8"/>
  <c r="G219" i="1" s="1"/>
  <c r="I1104" i="8"/>
  <c r="G223" i="1" s="1"/>
  <c r="J1130" i="8"/>
  <c r="F208" i="1"/>
  <c r="F233" i="1"/>
  <c r="J1174" i="8"/>
  <c r="I1202" i="8"/>
  <c r="G240" i="1" s="1"/>
  <c r="F263" i="1"/>
  <c r="F269" i="1"/>
  <c r="J1653" i="8"/>
  <c r="I1659" i="8"/>
  <c r="G323" i="1" s="1"/>
  <c r="J1677" i="8"/>
  <c r="I1174" i="8"/>
  <c r="G236" i="1" s="1"/>
  <c r="I1216" i="8"/>
  <c r="G248" i="1" s="1"/>
  <c r="I1258" i="8"/>
  <c r="G254" i="1" s="1"/>
  <c r="I1314" i="8"/>
  <c r="G262" i="1" s="1"/>
  <c r="I1363" i="8"/>
  <c r="G268" i="1" s="1"/>
  <c r="J1496" i="8"/>
  <c r="F282" i="1"/>
  <c r="J1682" i="8"/>
  <c r="J1695" i="8"/>
  <c r="J1701" i="8"/>
  <c r="I1671" i="8"/>
  <c r="G319" i="1" s="1"/>
  <c r="J1671" i="8"/>
  <c r="J1659" i="8"/>
  <c r="I1608" i="8"/>
  <c r="I1566" i="8"/>
  <c r="J1195" i="8"/>
  <c r="J1167" i="8"/>
  <c r="J1160" i="8"/>
  <c r="J1154" i="8"/>
  <c r="J1142" i="8"/>
  <c r="J1118" i="8"/>
  <c r="J1097" i="8"/>
  <c r="J1069" i="8"/>
  <c r="I1083" i="8"/>
  <c r="G220" i="1" s="1"/>
  <c r="J1111" i="8"/>
  <c r="I1111" i="8"/>
  <c r="G225" i="1" s="1"/>
  <c r="J1090" i="8"/>
  <c r="J1048" i="8"/>
  <c r="I1041" i="8"/>
  <c r="G214" i="1" s="1"/>
  <c r="J1041" i="8"/>
  <c r="J1412" i="8" l="1"/>
  <c r="J1293" i="8"/>
  <c r="J1573" i="8"/>
  <c r="J1580" i="8"/>
  <c r="J1307" i="8"/>
  <c r="J1279" i="8"/>
  <c r="J1370" i="8"/>
  <c r="J1601" i="8"/>
  <c r="J1622" i="8"/>
  <c r="J1503" i="8"/>
  <c r="J1447" i="8"/>
  <c r="F290" i="1"/>
  <c r="J1454" i="8"/>
  <c r="J1321" i="8"/>
  <c r="J1377" i="8"/>
  <c r="J1461" i="8"/>
  <c r="G312" i="1"/>
  <c r="J1433" i="8"/>
  <c r="J1419" i="8"/>
  <c r="J1545" i="8"/>
  <c r="J1223" i="8"/>
  <c r="J1391" i="8"/>
  <c r="G164" i="1"/>
  <c r="J1209" i="8"/>
  <c r="J1489" i="8"/>
  <c r="J1244" i="8"/>
  <c r="J1286" i="8"/>
  <c r="J1237" i="8"/>
  <c r="J1363" i="8"/>
  <c r="J1440" i="8"/>
  <c r="J1510" i="8"/>
  <c r="J1342" i="8"/>
  <c r="J1587" i="8"/>
  <c r="J1349" i="8"/>
  <c r="J1356" i="8"/>
  <c r="J1335" i="8"/>
  <c r="J1482" i="8"/>
  <c r="J1426" i="8"/>
  <c r="J1524" i="8"/>
  <c r="J1559" i="8"/>
  <c r="J1230" i="8"/>
  <c r="J1251" i="8"/>
  <c r="J1300" i="8"/>
  <c r="J1615" i="8"/>
  <c r="J1594" i="8"/>
  <c r="J1265" i="8"/>
  <c r="G334" i="1"/>
  <c r="G163" i="1"/>
  <c r="J1531" i="8"/>
  <c r="J1258" i="8"/>
  <c r="J1608" i="8"/>
  <c r="G302" i="1"/>
  <c r="J1517" i="8"/>
  <c r="J1566" i="8"/>
  <c r="G296" i="1"/>
  <c r="J1272" i="8"/>
  <c r="J1314" i="8"/>
  <c r="J1216" i="8"/>
  <c r="H66" i="8" l="1"/>
  <c r="H54" i="8"/>
  <c r="H45" i="8"/>
  <c r="H41" i="8"/>
  <c r="H37" i="8"/>
  <c r="K1570" i="14" l="1"/>
  <c r="K1571" i="14"/>
  <c r="K1572" i="14"/>
  <c r="K1569" i="14"/>
  <c r="K1560" i="14"/>
  <c r="F68" i="1" l="1"/>
  <c r="G68" i="1"/>
  <c r="H68" i="1" s="1"/>
  <c r="F67" i="1"/>
  <c r="K1558" i="14"/>
  <c r="G67" i="1"/>
  <c r="H67" i="1" l="1"/>
  <c r="G62" i="8"/>
  <c r="H62" i="8" s="1"/>
  <c r="G58" i="8"/>
  <c r="H58" i="8" s="1"/>
  <c r="G127" i="1" l="1"/>
  <c r="G128" i="1"/>
  <c r="G129" i="1"/>
  <c r="K98" i="14" l="1"/>
  <c r="K96" i="14" s="1"/>
  <c r="E34" i="16" l="1"/>
  <c r="D34" i="16"/>
  <c r="E31" i="16"/>
  <c r="D31" i="16"/>
  <c r="E25" i="16"/>
  <c r="D25" i="16"/>
  <c r="E14" i="16"/>
  <c r="D14" i="16"/>
  <c r="E35" i="16" l="1"/>
  <c r="D35" i="16"/>
  <c r="A41" i="10"/>
  <c r="K1554" i="14"/>
  <c r="K1555" i="14"/>
  <c r="K1556" i="14"/>
  <c r="K1553" i="14"/>
  <c r="L91" i="2"/>
  <c r="L43" i="2"/>
  <c r="L33" i="2"/>
  <c r="L29" i="2"/>
  <c r="L27" i="2"/>
  <c r="L17" i="2"/>
  <c r="L19" i="2"/>
  <c r="L21" i="2"/>
  <c r="L23" i="2"/>
  <c r="L25" i="2"/>
  <c r="L49" i="2"/>
  <c r="L47" i="2"/>
  <c r="L45" i="2"/>
  <c r="L41" i="2"/>
  <c r="L37" i="2"/>
  <c r="L35" i="2"/>
  <c r="L31" i="2"/>
  <c r="L89" i="2"/>
  <c r="L87" i="2"/>
  <c r="L85" i="2"/>
  <c r="L83" i="2"/>
  <c r="L81" i="2"/>
  <c r="L79" i="2"/>
  <c r="L77" i="2"/>
  <c r="L75" i="2"/>
  <c r="L73" i="2"/>
  <c r="L71" i="2"/>
  <c r="L53" i="2"/>
  <c r="L55" i="2"/>
  <c r="L57" i="2"/>
  <c r="L59" i="2"/>
  <c r="L61" i="2"/>
  <c r="L63" i="2"/>
  <c r="L65" i="2"/>
  <c r="L67" i="2"/>
  <c r="L13" i="2"/>
  <c r="K1548" i="14"/>
  <c r="K1549" i="14"/>
  <c r="K1550" i="14"/>
  <c r="K1547" i="14"/>
  <c r="F161" i="1" l="1"/>
  <c r="F389" i="1"/>
  <c r="F156" i="1"/>
  <c r="F326" i="1"/>
  <c r="G389" i="1"/>
  <c r="G156" i="1"/>
  <c r="F313" i="1"/>
  <c r="G326" i="1"/>
  <c r="K1546" i="14"/>
  <c r="F333" i="1"/>
  <c r="F306" i="1"/>
  <c r="G306" i="1"/>
  <c r="J1546" i="14"/>
  <c r="G333" i="1"/>
  <c r="K1552" i="14"/>
  <c r="G161" i="1"/>
  <c r="G313" i="1"/>
  <c r="H49" i="8"/>
  <c r="K192" i="14" l="1"/>
  <c r="K193" i="14"/>
  <c r="K194" i="14"/>
  <c r="K191" i="14"/>
  <c r="F66" i="1" l="1"/>
  <c r="F77" i="1"/>
  <c r="K1542" i="14"/>
  <c r="G77" i="1" s="1"/>
  <c r="J899" i="8"/>
  <c r="I899" i="8"/>
  <c r="I900" i="8" s="1"/>
  <c r="G434" i="1" s="1"/>
  <c r="J898" i="8"/>
  <c r="H898" i="8"/>
  <c r="H900" i="8" s="1"/>
  <c r="F434" i="1" s="1"/>
  <c r="J900" i="8" l="1"/>
  <c r="K1540" i="14"/>
  <c r="I1034" i="8" l="1"/>
  <c r="G101" i="1" s="1"/>
  <c r="J1030" i="8"/>
  <c r="J1031" i="8"/>
  <c r="J1032" i="8"/>
  <c r="J1033" i="8"/>
  <c r="G421" i="1"/>
  <c r="G418" i="1"/>
  <c r="F418" i="1"/>
  <c r="G415" i="1"/>
  <c r="G387" i="1"/>
  <c r="G385" i="1"/>
  <c r="G384" i="1"/>
  <c r="G367" i="1"/>
  <c r="G360" i="1"/>
  <c r="G199" i="1"/>
  <c r="G198" i="1"/>
  <c r="F197" i="1"/>
  <c r="G195" i="1"/>
  <c r="F191" i="1"/>
  <c r="G188" i="1"/>
  <c r="G185" i="1"/>
  <c r="G184" i="1"/>
  <c r="F179" i="1"/>
  <c r="G178" i="1"/>
  <c r="G143" i="1"/>
  <c r="F142" i="1"/>
  <c r="G130" i="1"/>
  <c r="F129" i="1"/>
  <c r="F128" i="1"/>
  <c r="H1034" i="8" l="1"/>
  <c r="F127" i="1"/>
  <c r="G126" i="1"/>
  <c r="F126" i="1"/>
  <c r="G119" i="1"/>
  <c r="G108" i="1"/>
  <c r="G100" i="1"/>
  <c r="G99" i="1"/>
  <c r="G92" i="1"/>
  <c r="F47" i="1"/>
  <c r="G47" i="1"/>
  <c r="F42" i="1"/>
  <c r="F40" i="1"/>
  <c r="G38" i="1"/>
  <c r="G37" i="1"/>
  <c r="G102" i="1"/>
  <c r="G103" i="1"/>
  <c r="G93" i="1"/>
  <c r="G83" i="1"/>
  <c r="F76" i="1"/>
  <c r="F75" i="1"/>
  <c r="G74" i="1"/>
  <c r="G71" i="1"/>
  <c r="F71" i="1"/>
  <c r="G63" i="1"/>
  <c r="F63" i="1"/>
  <c r="G49" i="1"/>
  <c r="G48" i="1"/>
  <c r="F48" i="1"/>
  <c r="G36" i="1"/>
  <c r="G35" i="1"/>
  <c r="G34" i="1"/>
  <c r="G33" i="1"/>
  <c r="G25" i="1"/>
  <c r="G24" i="1"/>
  <c r="G22" i="1"/>
  <c r="G12" i="1"/>
  <c r="G11" i="1"/>
  <c r="J1034" i="8" l="1"/>
  <c r="F101" i="1"/>
  <c r="J911" i="8"/>
  <c r="I911" i="8"/>
  <c r="J910" i="8"/>
  <c r="I910" i="8"/>
  <c r="J909" i="8"/>
  <c r="J912" i="8" s="1"/>
  <c r="H909" i="8"/>
  <c r="H912" i="8" s="1"/>
  <c r="F435" i="1" s="1"/>
  <c r="G31" i="8"/>
  <c r="G30" i="8"/>
  <c r="H19" i="8"/>
  <c r="I912" i="8" l="1"/>
  <c r="G435" i="1" s="1"/>
  <c r="K1530" i="14"/>
  <c r="K1518" i="14"/>
  <c r="K1503" i="14"/>
  <c r="K1497" i="14"/>
  <c r="K1498" i="14"/>
  <c r="K1496" i="14"/>
  <c r="K1489" i="14"/>
  <c r="K1482" i="14"/>
  <c r="K1474" i="14"/>
  <c r="K1463" i="14"/>
  <c r="K1464" i="14"/>
  <c r="K1465" i="14"/>
  <c r="K1466" i="14"/>
  <c r="K1467" i="14"/>
  <c r="K1468" i="14"/>
  <c r="K1469" i="14"/>
  <c r="K1462" i="14"/>
  <c r="K1451" i="14"/>
  <c r="K1452" i="14"/>
  <c r="K1453" i="14"/>
  <c r="K1454" i="14"/>
  <c r="K1455" i="14"/>
  <c r="K1456" i="14"/>
  <c r="K1457" i="14"/>
  <c r="K1450" i="14"/>
  <c r="K1440" i="14"/>
  <c r="K1437" i="14"/>
  <c r="K1435" i="14" s="1"/>
  <c r="K1432" i="14"/>
  <c r="K1430" i="14" s="1"/>
  <c r="K1425" i="14"/>
  <c r="K1420" i="14"/>
  <c r="K1397" i="14"/>
  <c r="K1388" i="14"/>
  <c r="K1369" i="14"/>
  <c r="K1358" i="14"/>
  <c r="K1359" i="14"/>
  <c r="K1360" i="14"/>
  <c r="K1361" i="14"/>
  <c r="K1362" i="14"/>
  <c r="K1363" i="14"/>
  <c r="K1364" i="14"/>
  <c r="K1357" i="14"/>
  <c r="K1350" i="14"/>
  <c r="K1347" i="14"/>
  <c r="K1345" i="14" s="1"/>
  <c r="K1340" i="14"/>
  <c r="K1337" i="14"/>
  <c r="K1335" i="14" s="1"/>
  <c r="K1322" i="14"/>
  <c r="K1323" i="14"/>
  <c r="K1321" i="14"/>
  <c r="K1271" i="14"/>
  <c r="K1261" i="14"/>
  <c r="K1249" i="14"/>
  <c r="K1235" i="14"/>
  <c r="K1223" i="14"/>
  <c r="K1199" i="14"/>
  <c r="K1192" i="14"/>
  <c r="K1185" i="14"/>
  <c r="K1175" i="14"/>
  <c r="K1165" i="14"/>
  <c r="K1153" i="14"/>
  <c r="K1146" i="14"/>
  <c r="K1143" i="14"/>
  <c r="K1141" i="14" s="1"/>
  <c r="K1118" i="14"/>
  <c r="K1116" i="14" s="1"/>
  <c r="K1086" i="14"/>
  <c r="K1081" i="14"/>
  <c r="K1076" i="14"/>
  <c r="K1071" i="14"/>
  <c r="K1068" i="14"/>
  <c r="K1066" i="14" s="1"/>
  <c r="K1056" i="14"/>
  <c r="K1051" i="14"/>
  <c r="K1046" i="14"/>
  <c r="K1041" i="14"/>
  <c r="K1036" i="14"/>
  <c r="K1031" i="14"/>
  <c r="K1026" i="14"/>
  <c r="K1004" i="14"/>
  <c r="K997" i="14"/>
  <c r="K988" i="14"/>
  <c r="K987" i="14"/>
  <c r="K982" i="14"/>
  <c r="K981" i="14"/>
  <c r="K976" i="14"/>
  <c r="K973" i="14" s="1"/>
  <c r="K965" i="14"/>
  <c r="K957" i="14"/>
  <c r="K950" i="14"/>
  <c r="K945" i="14"/>
  <c r="K942" i="14"/>
  <c r="K940" i="14" s="1"/>
  <c r="J940" i="14" s="1"/>
  <c r="K937" i="14"/>
  <c r="K935" i="14" s="1"/>
  <c r="K930" i="14"/>
  <c r="K931" i="14"/>
  <c r="K932" i="14"/>
  <c r="K929" i="14"/>
  <c r="K914" i="14"/>
  <c r="K985" i="14" l="1"/>
  <c r="K1494" i="14"/>
  <c r="K1319" i="14"/>
  <c r="K1472" i="14"/>
  <c r="K1014" i="14"/>
  <c r="K1307" i="14"/>
  <c r="K921" i="14"/>
  <c r="K1480" i="14"/>
  <c r="K1242" i="14"/>
  <c r="K1460" i="14"/>
  <c r="K927" i="14"/>
  <c r="K1528" i="14"/>
  <c r="K1209" i="14"/>
  <c r="K1221" i="14"/>
  <c r="K912" i="14"/>
  <c r="K1151" i="14"/>
  <c r="K1326" i="14"/>
  <c r="K963" i="14"/>
  <c r="K1379" i="14"/>
  <c r="K1295" i="14"/>
  <c r="K1259" i="14"/>
  <c r="K1501" i="14"/>
  <c r="K1183" i="14"/>
  <c r="K1412" i="14"/>
  <c r="K1190" i="14"/>
  <c r="K1228" i="14"/>
  <c r="K1355" i="14"/>
  <c r="K979" i="14"/>
  <c r="K1367" i="14"/>
  <c r="K1448" i="14"/>
  <c r="K1487" i="14"/>
  <c r="K1163" i="14"/>
  <c r="K1002" i="14"/>
  <c r="K955" i="14"/>
  <c r="K1197" i="14"/>
  <c r="K892" i="14"/>
  <c r="K893" i="14"/>
  <c r="K894" i="14"/>
  <c r="K895" i="14"/>
  <c r="K896" i="14"/>
  <c r="K897" i="14"/>
  <c r="K898" i="14"/>
  <c r="K891" i="14"/>
  <c r="K880" i="14"/>
  <c r="K881" i="14"/>
  <c r="K882" i="14"/>
  <c r="K883" i="14"/>
  <c r="K884" i="14"/>
  <c r="K885" i="14"/>
  <c r="K886" i="14"/>
  <c r="K879" i="14"/>
  <c r="K868" i="14"/>
  <c r="K869" i="14"/>
  <c r="K870" i="14"/>
  <c r="K871" i="14"/>
  <c r="K872" i="14"/>
  <c r="K873" i="14"/>
  <c r="K874" i="14"/>
  <c r="K867" i="14"/>
  <c r="K858" i="14"/>
  <c r="K851" i="14"/>
  <c r="K841" i="14"/>
  <c r="K833" i="14"/>
  <c r="K817" i="14"/>
  <c r="K795" i="14"/>
  <c r="F421" i="1"/>
  <c r="K780" i="14"/>
  <c r="G417" i="1"/>
  <c r="K775" i="14"/>
  <c r="F417" i="1" s="1"/>
  <c r="F415" i="1"/>
  <c r="F387" i="1"/>
  <c r="G386" i="1"/>
  <c r="F386" i="1"/>
  <c r="F370" i="1"/>
  <c r="F367" i="1"/>
  <c r="K698" i="14"/>
  <c r="K689" i="14"/>
  <c r="K688" i="14"/>
  <c r="F360" i="1"/>
  <c r="F200" i="1"/>
  <c r="G197" i="1"/>
  <c r="G196" i="1"/>
  <c r="K637" i="14"/>
  <c r="F195" i="1"/>
  <c r="G194" i="1"/>
  <c r="K614" i="14"/>
  <c r="K615" i="14"/>
  <c r="K617" i="14"/>
  <c r="G193" i="1" s="1"/>
  <c r="G192" i="1"/>
  <c r="F192" i="1"/>
  <c r="G191" i="1"/>
  <c r="G190" i="1"/>
  <c r="K587" i="14"/>
  <c r="F190" i="1" s="1"/>
  <c r="K561" i="14"/>
  <c r="F186" i="1" s="1"/>
  <c r="K564" i="14"/>
  <c r="G186" i="1" s="1"/>
  <c r="F185" i="1"/>
  <c r="K541" i="14"/>
  <c r="F184" i="1" s="1"/>
  <c r="G182" i="1"/>
  <c r="F182" i="1"/>
  <c r="K529" i="14"/>
  <c r="K530" i="14"/>
  <c r="K528" i="14"/>
  <c r="F180" i="1" s="1"/>
  <c r="G179" i="1"/>
  <c r="K514" i="14"/>
  <c r="K507" i="14"/>
  <c r="F178" i="1" l="1"/>
  <c r="K513" i="14"/>
  <c r="F176" i="1"/>
  <c r="K506" i="14"/>
  <c r="F196" i="1"/>
  <c r="F365" i="1"/>
  <c r="F385" i="1"/>
  <c r="F199" i="1"/>
  <c r="F364" i="1"/>
  <c r="K889" i="14"/>
  <c r="F193" i="1"/>
  <c r="F366" i="1"/>
  <c r="F369" i="1"/>
  <c r="K728" i="14"/>
  <c r="K865" i="14"/>
  <c r="F194" i="1"/>
  <c r="K558" i="14"/>
  <c r="K825" i="14"/>
  <c r="F187" i="1"/>
  <c r="K877" i="14"/>
  <c r="K654" i="14"/>
  <c r="K767" i="14"/>
  <c r="K665" i="14"/>
  <c r="G200" i="1"/>
  <c r="K774" i="14"/>
  <c r="K805" i="14"/>
  <c r="K674" i="14"/>
  <c r="K733" i="14"/>
  <c r="F384" i="1"/>
  <c r="F363" i="1"/>
  <c r="K739" i="14"/>
  <c r="K786" i="14"/>
  <c r="F188" i="1"/>
  <c r="K687" i="14"/>
  <c r="K707" i="14"/>
  <c r="K586" i="14"/>
  <c r="K628" i="14"/>
  <c r="J628" i="14" s="1"/>
  <c r="K527" i="14"/>
  <c r="K746" i="14"/>
  <c r="K645" i="14"/>
  <c r="K753" i="14"/>
  <c r="K567" i="14"/>
  <c r="K549" i="14"/>
  <c r="K602" i="14"/>
  <c r="K723" i="14"/>
  <c r="F368" i="1"/>
  <c r="F371" i="1"/>
  <c r="G180" i="1"/>
  <c r="K697" i="14"/>
  <c r="K760" i="14"/>
  <c r="K594" i="14"/>
  <c r="K713" i="14"/>
  <c r="K533" i="14"/>
  <c r="K620" i="14"/>
  <c r="J620" i="14" s="1"/>
  <c r="K636" i="14"/>
  <c r="J636" i="14" s="1"/>
  <c r="K680" i="14"/>
  <c r="K718" i="14"/>
  <c r="K540" i="14"/>
  <c r="G187" i="1"/>
  <c r="F198" i="1"/>
  <c r="K611" i="14"/>
  <c r="G176" i="1"/>
  <c r="G175" i="1"/>
  <c r="K500" i="14"/>
  <c r="K494" i="14"/>
  <c r="K495" i="14"/>
  <c r="K493" i="14"/>
  <c r="G173" i="1"/>
  <c r="G145" i="1"/>
  <c r="K477" i="14"/>
  <c r="K469" i="14"/>
  <c r="F143" i="1"/>
  <c r="G142" i="1"/>
  <c r="K445" i="14"/>
  <c r="F130" i="1" s="1"/>
  <c r="K437" i="14"/>
  <c r="K430" i="14"/>
  <c r="K423" i="14"/>
  <c r="K416" i="14"/>
  <c r="G125" i="1"/>
  <c r="K411" i="14"/>
  <c r="F125" i="1" s="1"/>
  <c r="G124" i="1"/>
  <c r="K391" i="14"/>
  <c r="K385" i="14"/>
  <c r="K384" i="14"/>
  <c r="F119" i="1" s="1"/>
  <c r="F175" i="1" l="1"/>
  <c r="K499" i="14"/>
  <c r="F174" i="1"/>
  <c r="K492" i="14"/>
  <c r="F173" i="1"/>
  <c r="K484" i="14"/>
  <c r="F122" i="1"/>
  <c r="F145" i="1"/>
  <c r="K468" i="14"/>
  <c r="F124" i="1"/>
  <c r="K410" i="14"/>
  <c r="K402" i="14"/>
  <c r="K476" i="14"/>
  <c r="G144" i="1"/>
  <c r="K383" i="14"/>
  <c r="J383" i="14" s="1"/>
  <c r="G122" i="1"/>
  <c r="K444" i="14"/>
  <c r="G174" i="1"/>
  <c r="K452" i="14"/>
  <c r="K460" i="14"/>
  <c r="K390" i="14"/>
  <c r="F144" i="1"/>
  <c r="K378" i="14"/>
  <c r="K379" i="14"/>
  <c r="G110" i="1" s="1"/>
  <c r="K377" i="14"/>
  <c r="K371" i="14"/>
  <c r="K372" i="14"/>
  <c r="G109" i="1" s="1"/>
  <c r="K370" i="14"/>
  <c r="K354" i="14"/>
  <c r="K353" i="14" s="1"/>
  <c r="F105" i="1"/>
  <c r="G105" i="1"/>
  <c r="K341" i="14"/>
  <c r="G104" i="1"/>
  <c r="K340" i="14"/>
  <c r="K334" i="14"/>
  <c r="K333" i="14"/>
  <c r="K326" i="14"/>
  <c r="F102" i="1" s="1"/>
  <c r="K318" i="14"/>
  <c r="K305" i="14"/>
  <c r="G95" i="1"/>
  <c r="K304" i="14"/>
  <c r="K298" i="14"/>
  <c r="K297" i="14"/>
  <c r="F92" i="1"/>
  <c r="K286" i="14"/>
  <c r="K287" i="14"/>
  <c r="G90" i="1"/>
  <c r="K278" i="14"/>
  <c r="F90" i="1" s="1"/>
  <c r="K274" i="14"/>
  <c r="K272" i="14" s="1"/>
  <c r="K269" i="14"/>
  <c r="K268" i="14"/>
  <c r="K259" i="14"/>
  <c r="K258" i="14"/>
  <c r="K252" i="14"/>
  <c r="K253" i="14"/>
  <c r="K251" i="14"/>
  <c r="K245" i="14"/>
  <c r="K246" i="14"/>
  <c r="K247" i="14"/>
  <c r="K238" i="14"/>
  <c r="K239" i="14"/>
  <c r="K240" i="14"/>
  <c r="K230" i="14"/>
  <c r="G76" i="1"/>
  <c r="G75" i="1"/>
  <c r="F74" i="1"/>
  <c r="K203" i="14"/>
  <c r="G70" i="1"/>
  <c r="F65" i="1"/>
  <c r="G64" i="1"/>
  <c r="F64" i="1"/>
  <c r="K169" i="14"/>
  <c r="K157" i="14"/>
  <c r="K148" i="14"/>
  <c r="K143" i="14"/>
  <c r="K139" i="14"/>
  <c r="F41" i="1"/>
  <c r="K131" i="14"/>
  <c r="K126" i="14"/>
  <c r="K121" i="14"/>
  <c r="K116" i="14"/>
  <c r="K111" i="14"/>
  <c r="K106" i="14"/>
  <c r="K101" i="14"/>
  <c r="G32" i="1"/>
  <c r="K93" i="14"/>
  <c r="G31" i="1" s="1"/>
  <c r="G29" i="1"/>
  <c r="G26" i="1"/>
  <c r="K66" i="14"/>
  <c r="K61" i="14"/>
  <c r="K47" i="14"/>
  <c r="K48" i="14"/>
  <c r="K49" i="14"/>
  <c r="K50" i="14"/>
  <c r="K51" i="14"/>
  <c r="K46" i="14"/>
  <c r="K45" i="14" s="1"/>
  <c r="K38" i="14"/>
  <c r="K39" i="14"/>
  <c r="G17" i="1" s="1"/>
  <c r="K40" i="14"/>
  <c r="K41" i="14"/>
  <c r="K42" i="14"/>
  <c r="K37" i="14"/>
  <c r="K29" i="14"/>
  <c r="K30" i="14"/>
  <c r="K31" i="14"/>
  <c r="K32" i="14"/>
  <c r="K33" i="14"/>
  <c r="K28" i="14"/>
  <c r="K20" i="14"/>
  <c r="K21" i="14"/>
  <c r="G14" i="1" s="1"/>
  <c r="G15" i="1" s="1"/>
  <c r="K22" i="14"/>
  <c r="K23" i="14"/>
  <c r="K24" i="14"/>
  <c r="K19" i="14"/>
  <c r="K11" i="14"/>
  <c r="K12" i="14"/>
  <c r="K13" i="14"/>
  <c r="K14" i="14"/>
  <c r="K15" i="14"/>
  <c r="K10" i="14"/>
  <c r="G13" i="1" s="1"/>
  <c r="K18" i="14" l="1"/>
  <c r="K36" i="14"/>
  <c r="G16" i="1"/>
  <c r="K27" i="14"/>
  <c r="F16" i="1"/>
  <c r="F109" i="1"/>
  <c r="F83" i="1"/>
  <c r="F91" i="1"/>
  <c r="G27" i="1"/>
  <c r="F88" i="1"/>
  <c r="F93" i="1"/>
  <c r="F103" i="1"/>
  <c r="F81" i="1"/>
  <c r="F17" i="1"/>
  <c r="F87" i="1"/>
  <c r="F13" i="1"/>
  <c r="F14" i="1"/>
  <c r="F15" i="1" s="1"/>
  <c r="H15" i="1" s="1"/>
  <c r="K376" i="14"/>
  <c r="K250" i="14"/>
  <c r="F108" i="1"/>
  <c r="K339" i="14"/>
  <c r="F104" i="1"/>
  <c r="K236" i="14"/>
  <c r="K9" i="14"/>
  <c r="F80" i="1"/>
  <c r="F95" i="1"/>
  <c r="K190" i="14"/>
  <c r="G66" i="1"/>
  <c r="K257" i="14"/>
  <c r="K71" i="14"/>
  <c r="F79" i="1"/>
  <c r="K296" i="14"/>
  <c r="K175" i="14"/>
  <c r="K267" i="14"/>
  <c r="K346" i="14"/>
  <c r="G65" i="1"/>
  <c r="K76" i="14"/>
  <c r="K182" i="14"/>
  <c r="K303" i="14"/>
  <c r="K290" i="14"/>
  <c r="F100" i="1"/>
  <c r="F99" i="1"/>
  <c r="K224" i="14"/>
  <c r="K311" i="14"/>
  <c r="K359" i="14"/>
  <c r="K163" i="14"/>
  <c r="F49" i="1"/>
  <c r="K197" i="14"/>
  <c r="F70" i="1"/>
  <c r="K277" i="14"/>
  <c r="K243" i="14"/>
  <c r="K81" i="14"/>
  <c r="G28" i="1"/>
  <c r="K136" i="14"/>
  <c r="K325" i="14"/>
  <c r="K91" i="14"/>
  <c r="K284" i="14"/>
  <c r="K369" i="14"/>
  <c r="K217" i="14"/>
  <c r="K332" i="14"/>
  <c r="F110" i="1"/>
  <c r="K211" i="14"/>
  <c r="E324" i="1" l="1"/>
  <c r="E323" i="1"/>
  <c r="E321" i="1"/>
  <c r="E320" i="1"/>
  <c r="E319" i="1"/>
  <c r="E317" i="1"/>
  <c r="E316" i="1"/>
  <c r="E315" i="1"/>
  <c r="E314" i="1"/>
  <c r="E313" i="1"/>
  <c r="E312" i="1"/>
  <c r="E311" i="1"/>
  <c r="E310" i="1"/>
  <c r="E309" i="1"/>
  <c r="E308" i="1"/>
  <c r="E307" i="1"/>
  <c r="E306" i="1"/>
  <c r="H144" i="1" l="1"/>
  <c r="J1025" i="8" l="1"/>
  <c r="I1025" i="8"/>
  <c r="I1026" i="8" s="1"/>
  <c r="J1024" i="8"/>
  <c r="H1024" i="8"/>
  <c r="H1026" i="8" s="1"/>
  <c r="F420" i="1" l="1"/>
  <c r="G420" i="1"/>
  <c r="J1026" i="8"/>
  <c r="H406" i="1"/>
  <c r="J968" i="8"/>
  <c r="J1019" i="8"/>
  <c r="I1019" i="8"/>
  <c r="J1018" i="8"/>
  <c r="I1018" i="8"/>
  <c r="J1017" i="8"/>
  <c r="H1017" i="8"/>
  <c r="H1020" i="8" s="1"/>
  <c r="J1012" i="8"/>
  <c r="I1012" i="8"/>
  <c r="J1011" i="8"/>
  <c r="I1011" i="8"/>
  <c r="J1010" i="8"/>
  <c r="H1010" i="8"/>
  <c r="H1013" i="8" s="1"/>
  <c r="J1005" i="8"/>
  <c r="I1005" i="8"/>
  <c r="J1004" i="8"/>
  <c r="I1004" i="8"/>
  <c r="J1003" i="8"/>
  <c r="H1003" i="8"/>
  <c r="H1006" i="8" s="1"/>
  <c r="J998" i="8"/>
  <c r="I998" i="8"/>
  <c r="J997" i="8"/>
  <c r="I997" i="8"/>
  <c r="J996" i="8"/>
  <c r="H996" i="8"/>
  <c r="H999" i="8" s="1"/>
  <c r="J991" i="8"/>
  <c r="I991" i="8"/>
  <c r="J990" i="8"/>
  <c r="I990" i="8"/>
  <c r="J989" i="8"/>
  <c r="H989" i="8"/>
  <c r="H992" i="8" s="1"/>
  <c r="J984" i="8"/>
  <c r="I984" i="8"/>
  <c r="J983" i="8"/>
  <c r="I983" i="8"/>
  <c r="J982" i="8"/>
  <c r="H982" i="8"/>
  <c r="H985" i="8" s="1"/>
  <c r="J977" i="8"/>
  <c r="I977" i="8"/>
  <c r="J976" i="8"/>
  <c r="I976" i="8"/>
  <c r="J975" i="8"/>
  <c r="H975" i="8"/>
  <c r="H978" i="8" s="1"/>
  <c r="H968" i="8"/>
  <c r="J970" i="8"/>
  <c r="I970" i="8"/>
  <c r="J969" i="8"/>
  <c r="I969" i="8"/>
  <c r="J967" i="8"/>
  <c r="H967" i="8"/>
  <c r="J962" i="8"/>
  <c r="I962" i="8"/>
  <c r="J961" i="8"/>
  <c r="I961" i="8"/>
  <c r="J960" i="8"/>
  <c r="H960" i="8"/>
  <c r="H963" i="8" s="1"/>
  <c r="J955" i="8"/>
  <c r="I955" i="8"/>
  <c r="J954" i="8"/>
  <c r="I954" i="8"/>
  <c r="J953" i="8"/>
  <c r="H953" i="8"/>
  <c r="H956" i="8" s="1"/>
  <c r="J948" i="8"/>
  <c r="I948" i="8"/>
  <c r="J947" i="8"/>
  <c r="I947" i="8"/>
  <c r="J946" i="8"/>
  <c r="H946" i="8"/>
  <c r="H949" i="8" s="1"/>
  <c r="I971" i="8" l="1"/>
  <c r="J999" i="8"/>
  <c r="J963" i="8"/>
  <c r="I956" i="8"/>
  <c r="G391" i="1" s="1"/>
  <c r="I999" i="8"/>
  <c r="G405" i="1" s="1"/>
  <c r="I985" i="8"/>
  <c r="G402" i="1" s="1"/>
  <c r="J985" i="8"/>
  <c r="J949" i="8"/>
  <c r="I1013" i="8"/>
  <c r="G411" i="1" s="1"/>
  <c r="F392" i="1"/>
  <c r="J1013" i="8"/>
  <c r="F401" i="1"/>
  <c r="F403" i="1"/>
  <c r="F410" i="1"/>
  <c r="F412" i="1"/>
  <c r="I949" i="8"/>
  <c r="I963" i="8"/>
  <c r="H971" i="8"/>
  <c r="J978" i="8"/>
  <c r="J992" i="8"/>
  <c r="J1006" i="8"/>
  <c r="J1020" i="8"/>
  <c r="H420" i="1"/>
  <c r="J956" i="8"/>
  <c r="J971" i="8"/>
  <c r="I978" i="8"/>
  <c r="F402" i="1"/>
  <c r="I992" i="8"/>
  <c r="F405" i="1"/>
  <c r="I1006" i="8"/>
  <c r="F411" i="1"/>
  <c r="I1020" i="8"/>
  <c r="F390" i="1"/>
  <c r="G400" i="1"/>
  <c r="F391" i="1"/>
  <c r="H407" i="1"/>
  <c r="H409" i="1"/>
  <c r="H408" i="1"/>
  <c r="J941" i="8"/>
  <c r="I941" i="8"/>
  <c r="J940" i="8"/>
  <c r="I940" i="8"/>
  <c r="J939" i="8"/>
  <c r="H939" i="8"/>
  <c r="H942" i="8" s="1"/>
  <c r="H411" i="1" l="1"/>
  <c r="H402" i="1"/>
  <c r="J942" i="8"/>
  <c r="G403" i="1"/>
  <c r="F344" i="1"/>
  <c r="G401" i="1"/>
  <c r="I942" i="8"/>
  <c r="H405" i="1"/>
  <c r="G410" i="1"/>
  <c r="F400" i="1"/>
  <c r="G390" i="1"/>
  <c r="G412" i="1"/>
  <c r="G392" i="1"/>
  <c r="H412" i="1" l="1"/>
  <c r="H400" i="1"/>
  <c r="H410" i="1"/>
  <c r="G344" i="1"/>
  <c r="H401" i="1"/>
  <c r="H403" i="1"/>
  <c r="H344" i="1" l="1"/>
  <c r="H29" i="1"/>
  <c r="J934" i="8"/>
  <c r="I934" i="8"/>
  <c r="J933" i="8"/>
  <c r="I933" i="8"/>
  <c r="J932" i="8"/>
  <c r="H932" i="8"/>
  <c r="H935" i="8" s="1"/>
  <c r="F927" i="8"/>
  <c r="I927" i="8" s="1"/>
  <c r="J927" i="8" s="1"/>
  <c r="F926" i="8"/>
  <c r="I926" i="8" s="1"/>
  <c r="H925" i="8"/>
  <c r="J925" i="8" s="1"/>
  <c r="H924" i="8"/>
  <c r="J924" i="8" s="1"/>
  <c r="H923" i="8"/>
  <c r="J923" i="8" s="1"/>
  <c r="H922" i="8"/>
  <c r="J922" i="8" s="1"/>
  <c r="H921" i="8"/>
  <c r="J921" i="8" s="1"/>
  <c r="H920" i="8"/>
  <c r="J920" i="8" s="1"/>
  <c r="H919" i="8"/>
  <c r="J919" i="8" s="1"/>
  <c r="H918" i="8"/>
  <c r="J918" i="8" s="1"/>
  <c r="H917" i="8"/>
  <c r="J917" i="8" s="1"/>
  <c r="H916" i="8"/>
  <c r="J916" i="8" s="1"/>
  <c r="J935" i="8" l="1"/>
  <c r="F355" i="1"/>
  <c r="I935" i="8"/>
  <c r="I928" i="8"/>
  <c r="J926" i="8"/>
  <c r="H928" i="8"/>
  <c r="H392" i="1"/>
  <c r="H391" i="1"/>
  <c r="H390" i="1"/>
  <c r="G355" i="1" l="1"/>
  <c r="J928" i="8"/>
  <c r="H387" i="1" l="1"/>
  <c r="H369" i="1" l="1"/>
  <c r="H368" i="1"/>
  <c r="H355" i="1"/>
  <c r="H27" i="8" l="1"/>
  <c r="J27" i="8" s="1"/>
  <c r="I894" i="8" l="1"/>
  <c r="G431" i="1" s="1"/>
  <c r="J893" i="8"/>
  <c r="J894" i="8" s="1"/>
  <c r="H893" i="8"/>
  <c r="H894" i="8" s="1"/>
  <c r="J888" i="8"/>
  <c r="I888" i="8"/>
  <c r="J887" i="8"/>
  <c r="I887" i="8"/>
  <c r="J886" i="8"/>
  <c r="H886" i="8"/>
  <c r="H889" i="8" s="1"/>
  <c r="I889" i="8" l="1"/>
  <c r="G430" i="1" s="1"/>
  <c r="F431" i="1"/>
  <c r="F430" i="1"/>
  <c r="J889" i="8"/>
  <c r="H430" i="1" l="1"/>
  <c r="H431" i="1"/>
  <c r="J881" i="8"/>
  <c r="I881" i="8"/>
  <c r="I882" i="8" s="1"/>
  <c r="G171" i="1" s="1"/>
  <c r="J880" i="8"/>
  <c r="H880" i="8"/>
  <c r="H882" i="8" s="1"/>
  <c r="F171" i="1" s="1"/>
  <c r="J875" i="8"/>
  <c r="I875" i="8"/>
  <c r="I876" i="8" s="1"/>
  <c r="J874" i="8"/>
  <c r="H874" i="8"/>
  <c r="H876" i="8" s="1"/>
  <c r="F170" i="1" s="1"/>
  <c r="H381" i="8"/>
  <c r="H302" i="1" l="1"/>
  <c r="G170" i="1"/>
  <c r="H301" i="1"/>
  <c r="J882" i="8"/>
  <c r="J876" i="8"/>
  <c r="H171" i="1" l="1"/>
  <c r="H170" i="1"/>
  <c r="H867" i="8"/>
  <c r="H870" i="8" s="1"/>
  <c r="F18" i="1" s="1"/>
  <c r="I869" i="8"/>
  <c r="I868" i="8"/>
  <c r="I870" i="8" l="1"/>
  <c r="G18" i="1" s="1"/>
  <c r="H104" i="1"/>
  <c r="H863" i="8"/>
  <c r="I862" i="8"/>
  <c r="I863" i="8" s="1"/>
  <c r="G39" i="1" l="1"/>
  <c r="J870" i="8"/>
  <c r="J863" i="8"/>
  <c r="H18" i="1" l="1"/>
  <c r="H854" i="8"/>
  <c r="H853" i="8"/>
  <c r="I856" i="8"/>
  <c r="I855" i="8"/>
  <c r="H852" i="8"/>
  <c r="I847" i="8"/>
  <c r="I846" i="8"/>
  <c r="H845" i="8"/>
  <c r="H844" i="8"/>
  <c r="H857" i="8" l="1"/>
  <c r="I857" i="8"/>
  <c r="H848" i="8"/>
  <c r="I848" i="8"/>
  <c r="H840" i="8"/>
  <c r="I839" i="8"/>
  <c r="I838" i="8"/>
  <c r="I832" i="8"/>
  <c r="I833" i="8"/>
  <c r="H834" i="8"/>
  <c r="F96" i="1" l="1"/>
  <c r="F84" i="1"/>
  <c r="G96" i="1"/>
  <c r="J857" i="8"/>
  <c r="J848" i="8"/>
  <c r="G84" i="1"/>
  <c r="I840" i="8"/>
  <c r="H14" i="1"/>
  <c r="I834" i="8"/>
  <c r="H96" i="1" l="1"/>
  <c r="G30" i="1"/>
  <c r="J840" i="8"/>
  <c r="H84" i="1"/>
  <c r="J834" i="8"/>
  <c r="G23" i="1"/>
  <c r="H239" i="1" l="1"/>
  <c r="H238" i="1"/>
  <c r="H237" i="1"/>
  <c r="H236" i="1"/>
  <c r="H235" i="1"/>
  <c r="I132" i="8" l="1"/>
  <c r="J132" i="8" s="1"/>
  <c r="I131" i="8"/>
  <c r="J131" i="8" s="1"/>
  <c r="C62" i="2" l="1"/>
  <c r="I827" i="8" l="1"/>
  <c r="I828" i="8" s="1"/>
  <c r="H826" i="8"/>
  <c r="H828" i="8" s="1"/>
  <c r="I821" i="8"/>
  <c r="H820" i="8"/>
  <c r="G89" i="1" l="1"/>
  <c r="F89" i="1"/>
  <c r="G86" i="1"/>
  <c r="J828" i="8"/>
  <c r="H822" i="8"/>
  <c r="I822" i="8"/>
  <c r="F86" i="1" l="1"/>
  <c r="J822" i="8"/>
  <c r="A7" i="10" l="1"/>
  <c r="B7" i="10"/>
  <c r="I770" i="8" l="1"/>
  <c r="J769" i="8"/>
  <c r="I769" i="8"/>
  <c r="H768" i="8"/>
  <c r="H771" i="8" s="1"/>
  <c r="I763" i="8"/>
  <c r="J762" i="8"/>
  <c r="I762" i="8"/>
  <c r="H761" i="8"/>
  <c r="H764" i="8" s="1"/>
  <c r="I905" i="8"/>
  <c r="J904" i="8"/>
  <c r="J905" i="8" s="1"/>
  <c r="H904" i="8"/>
  <c r="H905" i="8" s="1"/>
  <c r="J814" i="8"/>
  <c r="I814" i="8"/>
  <c r="J813" i="8"/>
  <c r="I813" i="8"/>
  <c r="J812" i="8"/>
  <c r="H812" i="8"/>
  <c r="H815" i="8" s="1"/>
  <c r="I808" i="8"/>
  <c r="J807" i="8"/>
  <c r="J808" i="8" s="1"/>
  <c r="H807" i="8"/>
  <c r="H808" i="8" s="1"/>
  <c r="I804" i="8"/>
  <c r="G432" i="1" s="1"/>
  <c r="J803" i="8"/>
  <c r="J804" i="8" s="1"/>
  <c r="H803" i="8"/>
  <c r="H804" i="8" s="1"/>
  <c r="J798" i="8"/>
  <c r="I798" i="8"/>
  <c r="J797" i="8"/>
  <c r="I797" i="8"/>
  <c r="J796" i="8"/>
  <c r="H796" i="8"/>
  <c r="H799" i="8" s="1"/>
  <c r="J791" i="8"/>
  <c r="I791" i="8"/>
  <c r="J790" i="8"/>
  <c r="I790" i="8"/>
  <c r="J789" i="8"/>
  <c r="H789" i="8"/>
  <c r="H792" i="8" s="1"/>
  <c r="J784" i="8"/>
  <c r="I784" i="8"/>
  <c r="J783" i="8"/>
  <c r="I783" i="8"/>
  <c r="J782" i="8"/>
  <c r="H782" i="8"/>
  <c r="H785" i="8" s="1"/>
  <c r="J777" i="8"/>
  <c r="I777" i="8"/>
  <c r="J776" i="8"/>
  <c r="I776" i="8"/>
  <c r="J775" i="8"/>
  <c r="H775" i="8"/>
  <c r="H778" i="8" s="1"/>
  <c r="J740" i="8"/>
  <c r="J741" i="8"/>
  <c r="J755" i="8"/>
  <c r="I755" i="8"/>
  <c r="F756" i="8"/>
  <c r="I756" i="8" s="1"/>
  <c r="H754" i="8"/>
  <c r="H757" i="8" s="1"/>
  <c r="J748" i="8"/>
  <c r="I748" i="8"/>
  <c r="F749" i="8"/>
  <c r="I749" i="8" s="1"/>
  <c r="H747" i="8"/>
  <c r="H750" i="8" s="1"/>
  <c r="F742" i="8"/>
  <c r="I742" i="8" s="1"/>
  <c r="I741" i="8"/>
  <c r="H740" i="8"/>
  <c r="H743" i="8" s="1"/>
  <c r="J735" i="8"/>
  <c r="I735" i="8"/>
  <c r="J734" i="8"/>
  <c r="I734" i="8"/>
  <c r="J733" i="8"/>
  <c r="H733" i="8"/>
  <c r="H736" i="8" s="1"/>
  <c r="J728" i="8"/>
  <c r="I728" i="8"/>
  <c r="J727" i="8"/>
  <c r="I727" i="8"/>
  <c r="J726" i="8"/>
  <c r="H726" i="8"/>
  <c r="H729" i="8" s="1"/>
  <c r="J721" i="8"/>
  <c r="I721" i="8"/>
  <c r="J720" i="8"/>
  <c r="I720" i="8"/>
  <c r="I722" i="8" s="1"/>
  <c r="J719" i="8"/>
  <c r="H719" i="8"/>
  <c r="H722" i="8" s="1"/>
  <c r="J714" i="8"/>
  <c r="I714" i="8"/>
  <c r="I715" i="8" s="1"/>
  <c r="J713" i="8"/>
  <c r="H713" i="8"/>
  <c r="H715" i="8" s="1"/>
  <c r="J708" i="8"/>
  <c r="I708" i="8"/>
  <c r="J707" i="8"/>
  <c r="I707" i="8"/>
  <c r="J706" i="8"/>
  <c r="H706" i="8"/>
  <c r="H709" i="8" s="1"/>
  <c r="J701" i="8"/>
  <c r="I701" i="8"/>
  <c r="J700" i="8"/>
  <c r="I700" i="8"/>
  <c r="J699" i="8"/>
  <c r="H699" i="8"/>
  <c r="H702" i="8" s="1"/>
  <c r="J694" i="8"/>
  <c r="I694" i="8"/>
  <c r="J693" i="8"/>
  <c r="I693" i="8"/>
  <c r="J692" i="8"/>
  <c r="H692" i="8"/>
  <c r="H695" i="8" s="1"/>
  <c r="J687" i="8"/>
  <c r="I687" i="8"/>
  <c r="J686" i="8"/>
  <c r="I686" i="8"/>
  <c r="J685" i="8"/>
  <c r="H685" i="8"/>
  <c r="H688" i="8" s="1"/>
  <c r="J680" i="8"/>
  <c r="I680" i="8"/>
  <c r="J679" i="8"/>
  <c r="I679" i="8"/>
  <c r="J678" i="8"/>
  <c r="H678" i="8"/>
  <c r="H681" i="8" s="1"/>
  <c r="J673" i="8"/>
  <c r="I673" i="8"/>
  <c r="J672" i="8"/>
  <c r="I672" i="8"/>
  <c r="J671" i="8"/>
  <c r="H671" i="8"/>
  <c r="H674" i="8" s="1"/>
  <c r="J666" i="8"/>
  <c r="I666" i="8"/>
  <c r="J665" i="8"/>
  <c r="I665" i="8"/>
  <c r="J664" i="8"/>
  <c r="H664" i="8"/>
  <c r="J663" i="8"/>
  <c r="H663" i="8"/>
  <c r="H657" i="8"/>
  <c r="I652" i="8"/>
  <c r="J652" i="8" s="1"/>
  <c r="I651" i="8"/>
  <c r="J651" i="8" s="1"/>
  <c r="H650" i="8"/>
  <c r="I644" i="8"/>
  <c r="J644" i="8" s="1"/>
  <c r="H642" i="8"/>
  <c r="I635" i="8"/>
  <c r="J635" i="8" s="1"/>
  <c r="H634" i="8"/>
  <c r="I628" i="8"/>
  <c r="J628" i="8" s="1"/>
  <c r="I627" i="8"/>
  <c r="J627" i="8" s="1"/>
  <c r="H626" i="8"/>
  <c r="I620" i="8"/>
  <c r="J620" i="8" s="1"/>
  <c r="I619" i="8"/>
  <c r="J619" i="8" s="1"/>
  <c r="H618" i="8"/>
  <c r="I612" i="8"/>
  <c r="J612" i="8" s="1"/>
  <c r="I611" i="8"/>
  <c r="J611" i="8" s="1"/>
  <c r="H610" i="8"/>
  <c r="I604" i="8"/>
  <c r="J604" i="8" s="1"/>
  <c r="I603" i="8"/>
  <c r="J603" i="8" s="1"/>
  <c r="H602" i="8"/>
  <c r="I596" i="8"/>
  <c r="J596" i="8" s="1"/>
  <c r="I595" i="8"/>
  <c r="J595" i="8" s="1"/>
  <c r="H594" i="8"/>
  <c r="I588" i="8"/>
  <c r="J588" i="8" s="1"/>
  <c r="I587" i="8"/>
  <c r="J587" i="8" s="1"/>
  <c r="H586" i="8"/>
  <c r="J586" i="8" s="1"/>
  <c r="H585" i="8"/>
  <c r="J585" i="8" s="1"/>
  <c r="H645" i="8" l="1"/>
  <c r="J642" i="8"/>
  <c r="H621" i="8"/>
  <c r="F377" i="1" s="1"/>
  <c r="J618" i="8"/>
  <c r="H653" i="8"/>
  <c r="J650" i="8"/>
  <c r="H660" i="8"/>
  <c r="J660" i="8" s="1"/>
  <c r="J657" i="8"/>
  <c r="H637" i="8"/>
  <c r="J634" i="8"/>
  <c r="H629" i="8"/>
  <c r="F379" i="1" s="1"/>
  <c r="J626" i="8"/>
  <c r="H605" i="8"/>
  <c r="F375" i="1" s="1"/>
  <c r="J602" i="8"/>
  <c r="H597" i="8"/>
  <c r="F374" i="1" s="1"/>
  <c r="J594" i="8"/>
  <c r="H613" i="8"/>
  <c r="F376" i="1" s="1"/>
  <c r="J610" i="8"/>
  <c r="I785" i="8"/>
  <c r="I799" i="8"/>
  <c r="G429" i="1" s="1"/>
  <c r="I815" i="8"/>
  <c r="F394" i="1"/>
  <c r="F396" i="1"/>
  <c r="F398" i="1"/>
  <c r="G399" i="1"/>
  <c r="G404" i="1"/>
  <c r="F424" i="1"/>
  <c r="F427" i="1"/>
  <c r="F422" i="1"/>
  <c r="F423" i="1"/>
  <c r="F380" i="1"/>
  <c r="F382" i="1"/>
  <c r="I667" i="8"/>
  <c r="F395" i="1"/>
  <c r="F397" i="1"/>
  <c r="I709" i="8"/>
  <c r="F399" i="1"/>
  <c r="F404" i="1"/>
  <c r="I729" i="8"/>
  <c r="J778" i="8"/>
  <c r="J792" i="8"/>
  <c r="I764" i="8"/>
  <c r="I771" i="8"/>
  <c r="G422" i="1" s="1"/>
  <c r="J667" i="8"/>
  <c r="J674" i="8"/>
  <c r="J688" i="8"/>
  <c r="J702" i="8"/>
  <c r="J715" i="8"/>
  <c r="J722" i="8"/>
  <c r="J736" i="8"/>
  <c r="F414" i="1"/>
  <c r="F419" i="1"/>
  <c r="F425" i="1"/>
  <c r="F429" i="1"/>
  <c r="I695" i="8"/>
  <c r="I681" i="8"/>
  <c r="F432" i="1"/>
  <c r="I674" i="8"/>
  <c r="I702" i="8"/>
  <c r="I736" i="8"/>
  <c r="I778" i="8"/>
  <c r="I792" i="8"/>
  <c r="J681" i="8"/>
  <c r="J695" i="8"/>
  <c r="J709" i="8"/>
  <c r="J729" i="8"/>
  <c r="J785" i="8"/>
  <c r="J799" i="8"/>
  <c r="J815" i="8"/>
  <c r="J770" i="8"/>
  <c r="J768" i="8"/>
  <c r="H667" i="8"/>
  <c r="I688" i="8"/>
  <c r="J763" i="8"/>
  <c r="J761" i="8"/>
  <c r="I643" i="8"/>
  <c r="I743" i="8"/>
  <c r="I750" i="8"/>
  <c r="J756" i="8"/>
  <c r="I757" i="8"/>
  <c r="J749" i="8"/>
  <c r="J754" i="8"/>
  <c r="J742" i="8"/>
  <c r="J743" i="8" s="1"/>
  <c r="J747" i="8"/>
  <c r="I613" i="8"/>
  <c r="H589" i="8"/>
  <c r="I597" i="8"/>
  <c r="I629" i="8"/>
  <c r="I605" i="8"/>
  <c r="G375" i="1" s="1"/>
  <c r="I621" i="8"/>
  <c r="I653" i="8"/>
  <c r="F378" i="1"/>
  <c r="F381" i="1"/>
  <c r="I589" i="8"/>
  <c r="I636" i="8"/>
  <c r="I572" i="8"/>
  <c r="J572" i="8" s="1"/>
  <c r="J580" i="8"/>
  <c r="I580" i="8"/>
  <c r="J579" i="8"/>
  <c r="I579" i="8"/>
  <c r="J578" i="8"/>
  <c r="H581" i="8"/>
  <c r="I573" i="8"/>
  <c r="J573" i="8" s="1"/>
  <c r="H571" i="8"/>
  <c r="J571" i="8" s="1"/>
  <c r="H570" i="8"/>
  <c r="J570" i="8" s="1"/>
  <c r="H569" i="8"/>
  <c r="J569" i="8" s="1"/>
  <c r="I563" i="8"/>
  <c r="J563" i="8" s="1"/>
  <c r="I562" i="8"/>
  <c r="J562" i="8" s="1"/>
  <c r="H561" i="8"/>
  <c r="J561" i="8" s="1"/>
  <c r="H560" i="8"/>
  <c r="J560" i="8" s="1"/>
  <c r="H559" i="8"/>
  <c r="J559" i="8" s="1"/>
  <c r="J554" i="8"/>
  <c r="I554" i="8"/>
  <c r="J553" i="8"/>
  <c r="I553" i="8"/>
  <c r="J552" i="8"/>
  <c r="H552" i="8"/>
  <c r="H555" i="8" s="1"/>
  <c r="J547" i="8"/>
  <c r="I547" i="8"/>
  <c r="J546" i="8"/>
  <c r="I546" i="8"/>
  <c r="J545" i="8"/>
  <c r="H545" i="8"/>
  <c r="H548" i="8" s="1"/>
  <c r="J540" i="8"/>
  <c r="I540" i="8"/>
  <c r="J539" i="8"/>
  <c r="I539" i="8"/>
  <c r="J538" i="8"/>
  <c r="H538" i="8"/>
  <c r="H541" i="8" s="1"/>
  <c r="J533" i="8"/>
  <c r="I533" i="8"/>
  <c r="J532" i="8"/>
  <c r="I532" i="8"/>
  <c r="J531" i="8"/>
  <c r="H531" i="8"/>
  <c r="H534" i="8" s="1"/>
  <c r="J527" i="8"/>
  <c r="I527" i="8"/>
  <c r="J526" i="8"/>
  <c r="I526" i="8"/>
  <c r="J525" i="8"/>
  <c r="H525" i="8"/>
  <c r="J524" i="8"/>
  <c r="H524" i="8"/>
  <c r="I519" i="8"/>
  <c r="J519" i="8" s="1"/>
  <c r="I518" i="8"/>
  <c r="J518" i="8" s="1"/>
  <c r="H517" i="8"/>
  <c r="I512" i="8"/>
  <c r="J512" i="8" s="1"/>
  <c r="I511" i="8"/>
  <c r="J511" i="8" s="1"/>
  <c r="H510" i="8"/>
  <c r="I505" i="8"/>
  <c r="J505" i="8" s="1"/>
  <c r="I504" i="8"/>
  <c r="J504" i="8" s="1"/>
  <c r="H503" i="8"/>
  <c r="H478" i="8"/>
  <c r="H479" i="8" s="1"/>
  <c r="F340" i="1" s="1"/>
  <c r="H471" i="8"/>
  <c r="H474" i="8" s="1"/>
  <c r="H464" i="8"/>
  <c r="H467" i="8" s="1"/>
  <c r="F338" i="1" s="1"/>
  <c r="J498" i="8"/>
  <c r="I498" i="8"/>
  <c r="J497" i="8"/>
  <c r="I497" i="8"/>
  <c r="J496" i="8"/>
  <c r="H496" i="8"/>
  <c r="H499" i="8" s="1"/>
  <c r="J492" i="8"/>
  <c r="I492" i="8"/>
  <c r="J491" i="8"/>
  <c r="I491" i="8"/>
  <c r="J490" i="8"/>
  <c r="H490" i="8"/>
  <c r="H493" i="8" s="1"/>
  <c r="I487" i="8"/>
  <c r="J486" i="8"/>
  <c r="J487" i="8" s="1"/>
  <c r="H486" i="8"/>
  <c r="H487" i="8" s="1"/>
  <c r="I483" i="8"/>
  <c r="J482" i="8"/>
  <c r="J483" i="8" s="1"/>
  <c r="H482" i="8"/>
  <c r="H483" i="8" s="1"/>
  <c r="I479" i="8"/>
  <c r="J478" i="8"/>
  <c r="J479" i="8" s="1"/>
  <c r="J473" i="8"/>
  <c r="I473" i="8"/>
  <c r="J472" i="8"/>
  <c r="I472" i="8"/>
  <c r="J471" i="8"/>
  <c r="J466" i="8"/>
  <c r="I466" i="8"/>
  <c r="J465" i="8"/>
  <c r="I465" i="8"/>
  <c r="J464" i="8"/>
  <c r="J459" i="8"/>
  <c r="I459" i="8"/>
  <c r="J458" i="8"/>
  <c r="I458" i="8"/>
  <c r="J457" i="8"/>
  <c r="H457" i="8"/>
  <c r="H460" i="8" s="1"/>
  <c r="F337" i="1" s="1"/>
  <c r="J452" i="8"/>
  <c r="I452" i="8"/>
  <c r="J451" i="8"/>
  <c r="I451" i="8"/>
  <c r="J450" i="8"/>
  <c r="H450" i="8"/>
  <c r="H453" i="8" s="1"/>
  <c r="J445" i="8"/>
  <c r="I445" i="8"/>
  <c r="J444" i="8"/>
  <c r="I444" i="8"/>
  <c r="J443" i="8"/>
  <c r="H443" i="8"/>
  <c r="H446" i="8" s="1"/>
  <c r="I637" i="8" l="1"/>
  <c r="J636" i="8"/>
  <c r="I645" i="8"/>
  <c r="J645" i="8" s="1"/>
  <c r="J643" i="8"/>
  <c r="H520" i="8"/>
  <c r="J517" i="8"/>
  <c r="H506" i="8"/>
  <c r="J503" i="8"/>
  <c r="H513" i="8"/>
  <c r="J510" i="8"/>
  <c r="G377" i="1"/>
  <c r="H377" i="1" s="1"/>
  <c r="G378" i="1"/>
  <c r="H240" i="1"/>
  <c r="G425" i="1"/>
  <c r="H425" i="1" s="1"/>
  <c r="G340" i="1"/>
  <c r="F342" i="1"/>
  <c r="F339" i="1"/>
  <c r="F350" i="1"/>
  <c r="F361" i="1"/>
  <c r="G382" i="1"/>
  <c r="G374" i="1"/>
  <c r="G395" i="1"/>
  <c r="G398" i="1"/>
  <c r="F336" i="1"/>
  <c r="F341" i="1"/>
  <c r="F345" i="1"/>
  <c r="F353" i="1"/>
  <c r="F356" i="1"/>
  <c r="F373" i="1"/>
  <c r="G414" i="1"/>
  <c r="F393" i="1"/>
  <c r="G397" i="1"/>
  <c r="G423" i="1"/>
  <c r="G393" i="1"/>
  <c r="J453" i="8"/>
  <c r="I467" i="8"/>
  <c r="J474" i="8"/>
  <c r="G342" i="1"/>
  <c r="F348" i="1"/>
  <c r="J541" i="8"/>
  <c r="J555" i="8"/>
  <c r="I581" i="8"/>
  <c r="G376" i="1"/>
  <c r="G427" i="1"/>
  <c r="G394" i="1"/>
  <c r="F335" i="1"/>
  <c r="I453" i="8"/>
  <c r="G341" i="1"/>
  <c r="F343" i="1"/>
  <c r="I499" i="8"/>
  <c r="H528" i="8"/>
  <c r="I528" i="8"/>
  <c r="F352" i="1"/>
  <c r="I541" i="8"/>
  <c r="F354" i="1"/>
  <c r="I555" i="8"/>
  <c r="G379" i="1"/>
  <c r="G381" i="1"/>
  <c r="G424" i="1"/>
  <c r="G396" i="1"/>
  <c r="I474" i="8"/>
  <c r="H432" i="1"/>
  <c r="J499" i="8"/>
  <c r="J446" i="8"/>
  <c r="J460" i="8"/>
  <c r="J493" i="8"/>
  <c r="J528" i="8"/>
  <c r="J534" i="8"/>
  <c r="J548" i="8"/>
  <c r="I446" i="8"/>
  <c r="I460" i="8"/>
  <c r="G337" i="1" s="1"/>
  <c r="J467" i="8"/>
  <c r="I493" i="8"/>
  <c r="I534" i="8"/>
  <c r="I548" i="8"/>
  <c r="J581" i="8"/>
  <c r="J771" i="8"/>
  <c r="J764" i="8"/>
  <c r="J757" i="8"/>
  <c r="J750" i="8"/>
  <c r="J613" i="8"/>
  <c r="G419" i="1"/>
  <c r="J629" i="8"/>
  <c r="J597" i="8"/>
  <c r="J653" i="8"/>
  <c r="J605" i="8"/>
  <c r="J637" i="8"/>
  <c r="G380" i="1"/>
  <c r="J589" i="8"/>
  <c r="G373" i="1"/>
  <c r="J621" i="8"/>
  <c r="I574" i="8"/>
  <c r="H564" i="8"/>
  <c r="I564" i="8"/>
  <c r="H574" i="8"/>
  <c r="I513" i="8"/>
  <c r="F349" i="1"/>
  <c r="I506" i="8"/>
  <c r="I520" i="8"/>
  <c r="I438" i="8"/>
  <c r="H437" i="8"/>
  <c r="I432" i="8"/>
  <c r="J432" i="8" s="1"/>
  <c r="I431" i="8"/>
  <c r="J431" i="8" s="1"/>
  <c r="H430" i="8"/>
  <c r="I425" i="8"/>
  <c r="J425" i="8" s="1"/>
  <c r="I424" i="8"/>
  <c r="J424" i="8" s="1"/>
  <c r="H423" i="8"/>
  <c r="I418" i="8"/>
  <c r="J418" i="8" s="1"/>
  <c r="I417" i="8"/>
  <c r="J417" i="8" s="1"/>
  <c r="H416" i="8"/>
  <c r="I411" i="8"/>
  <c r="H410" i="8"/>
  <c r="I405" i="8"/>
  <c r="J405" i="8" s="1"/>
  <c r="I404" i="8"/>
  <c r="J404" i="8" s="1"/>
  <c r="H403" i="8"/>
  <c r="I398" i="8"/>
  <c r="J398" i="8" s="1"/>
  <c r="I397" i="8"/>
  <c r="J397" i="8" s="1"/>
  <c r="H396" i="8"/>
  <c r="J396" i="8" s="1"/>
  <c r="H395" i="8"/>
  <c r="J395" i="8" s="1"/>
  <c r="J390" i="8"/>
  <c r="I390" i="8"/>
  <c r="J389" i="8"/>
  <c r="I389" i="8"/>
  <c r="J388" i="8"/>
  <c r="H388" i="8"/>
  <c r="H391" i="8" s="1"/>
  <c r="F168" i="1" s="1"/>
  <c r="J383" i="8"/>
  <c r="I383" i="8"/>
  <c r="J382" i="8"/>
  <c r="I382" i="8"/>
  <c r="J380" i="8"/>
  <c r="H380" i="8"/>
  <c r="H384" i="8" s="1"/>
  <c r="F167" i="1" s="1"/>
  <c r="F375" i="8"/>
  <c r="J375" i="8" s="1"/>
  <c r="J374" i="8"/>
  <c r="I374" i="8"/>
  <c r="J373" i="8"/>
  <c r="H373" i="8"/>
  <c r="H376" i="8" s="1"/>
  <c r="F166" i="1" s="1"/>
  <c r="J368" i="8"/>
  <c r="I368" i="8"/>
  <c r="J367" i="8"/>
  <c r="I367" i="8"/>
  <c r="J366" i="8"/>
  <c r="H366" i="8"/>
  <c r="H369" i="8" s="1"/>
  <c r="F165" i="1" s="1"/>
  <c r="J361" i="8"/>
  <c r="I361" i="8"/>
  <c r="J360" i="8"/>
  <c r="I360" i="8"/>
  <c r="J359" i="8"/>
  <c r="H359" i="8"/>
  <c r="H362" i="8" s="1"/>
  <c r="D358" i="8"/>
  <c r="J352" i="8"/>
  <c r="I352" i="8"/>
  <c r="J351" i="8"/>
  <c r="I351" i="8"/>
  <c r="J350" i="8"/>
  <c r="H350" i="8"/>
  <c r="H353" i="8" s="1"/>
  <c r="D349" i="8"/>
  <c r="J344" i="8"/>
  <c r="I344" i="8"/>
  <c r="J343" i="8"/>
  <c r="I343" i="8"/>
  <c r="J342" i="8"/>
  <c r="H342" i="8"/>
  <c r="H345" i="8" s="1"/>
  <c r="F205" i="1" s="1"/>
  <c r="D341" i="8"/>
  <c r="J336" i="8"/>
  <c r="I336" i="8"/>
  <c r="J335" i="8"/>
  <c r="I335" i="8"/>
  <c r="J334" i="8"/>
  <c r="H334" i="8"/>
  <c r="H337" i="8" s="1"/>
  <c r="D333" i="8"/>
  <c r="J329" i="8"/>
  <c r="I329" i="8"/>
  <c r="J328" i="8"/>
  <c r="I328" i="8"/>
  <c r="J327" i="8"/>
  <c r="H327" i="8"/>
  <c r="H330" i="8" s="1"/>
  <c r="D326" i="8"/>
  <c r="J322" i="8"/>
  <c r="I322" i="8"/>
  <c r="J321" i="8"/>
  <c r="I321" i="8"/>
  <c r="J320" i="8"/>
  <c r="H320" i="8"/>
  <c r="H323" i="8" s="1"/>
  <c r="D319" i="8"/>
  <c r="J315" i="8"/>
  <c r="I315" i="8"/>
  <c r="J314" i="8"/>
  <c r="I314" i="8"/>
  <c r="J313" i="8"/>
  <c r="H313" i="8"/>
  <c r="H316" i="8" s="1"/>
  <c r="D312" i="8"/>
  <c r="J308" i="8"/>
  <c r="I308" i="8"/>
  <c r="J307" i="8"/>
  <c r="I307" i="8"/>
  <c r="J306" i="8"/>
  <c r="H306" i="8"/>
  <c r="H309" i="8" s="1"/>
  <c r="D305" i="8"/>
  <c r="J301" i="8"/>
  <c r="I301" i="8"/>
  <c r="J300" i="8"/>
  <c r="I300" i="8"/>
  <c r="J299" i="8"/>
  <c r="H299" i="8"/>
  <c r="H302" i="8" s="1"/>
  <c r="D298" i="8"/>
  <c r="J294" i="8"/>
  <c r="I294" i="8"/>
  <c r="J293" i="8"/>
  <c r="I293" i="8"/>
  <c r="J292" i="8"/>
  <c r="H292" i="8"/>
  <c r="H295" i="8" s="1"/>
  <c r="D291" i="8"/>
  <c r="J287" i="8"/>
  <c r="I287" i="8"/>
  <c r="J286" i="8"/>
  <c r="I286" i="8"/>
  <c r="J285" i="8"/>
  <c r="H285" i="8"/>
  <c r="H288" i="8" s="1"/>
  <c r="F169" i="1" s="1"/>
  <c r="I280" i="8"/>
  <c r="J280" i="8" s="1"/>
  <c r="I279" i="8"/>
  <c r="J279" i="8" s="1"/>
  <c r="F278" i="8"/>
  <c r="H278" i="8" s="1"/>
  <c r="J278" i="8" s="1"/>
  <c r="H277" i="8"/>
  <c r="J277" i="8" s="1"/>
  <c r="H276" i="8"/>
  <c r="J276" i="8" s="1"/>
  <c r="I271" i="8"/>
  <c r="J271" i="8" s="1"/>
  <c r="I270" i="8"/>
  <c r="J270" i="8" s="1"/>
  <c r="H269" i="8"/>
  <c r="J269" i="8" s="1"/>
  <c r="H268" i="8"/>
  <c r="J268" i="8" s="1"/>
  <c r="H266" i="8"/>
  <c r="J266" i="8" s="1"/>
  <c r="F261" i="8"/>
  <c r="I261" i="8" s="1"/>
  <c r="J261" i="8" s="1"/>
  <c r="I260" i="8"/>
  <c r="J260" i="8" s="1"/>
  <c r="H259" i="8"/>
  <c r="J259" i="8" s="1"/>
  <c r="H258" i="8"/>
  <c r="J258" i="8" s="1"/>
  <c r="H257" i="8"/>
  <c r="J257" i="8" s="1"/>
  <c r="F252" i="8"/>
  <c r="I252" i="8" s="1"/>
  <c r="J252" i="8" s="1"/>
  <c r="I251" i="8"/>
  <c r="J251" i="8" s="1"/>
  <c r="H250" i="8"/>
  <c r="J250" i="8" s="1"/>
  <c r="H249" i="8"/>
  <c r="J249" i="8" s="1"/>
  <c r="H248" i="8"/>
  <c r="J248" i="8" s="1"/>
  <c r="F243" i="8"/>
  <c r="I243" i="8" s="1"/>
  <c r="J243" i="8" s="1"/>
  <c r="I242" i="8"/>
  <c r="J242" i="8" s="1"/>
  <c r="H241" i="8"/>
  <c r="J241" i="8" s="1"/>
  <c r="H240" i="8"/>
  <c r="J240" i="8" s="1"/>
  <c r="H239" i="8"/>
  <c r="J239" i="8" s="1"/>
  <c r="F234" i="8"/>
  <c r="I234" i="8" s="1"/>
  <c r="J234" i="8" s="1"/>
  <c r="I233" i="8"/>
  <c r="J233" i="8" s="1"/>
  <c r="H232" i="8"/>
  <c r="J232" i="8" s="1"/>
  <c r="H231" i="8"/>
  <c r="J231" i="8" s="1"/>
  <c r="H230" i="8"/>
  <c r="J230" i="8" s="1"/>
  <c r="F225" i="8"/>
  <c r="I225" i="8" s="1"/>
  <c r="J225" i="8" s="1"/>
  <c r="I224" i="8"/>
  <c r="J224" i="8" s="1"/>
  <c r="H223" i="8"/>
  <c r="J223" i="8" s="1"/>
  <c r="H222" i="8"/>
  <c r="J222" i="8" s="1"/>
  <c r="H221" i="8"/>
  <c r="J221" i="8" s="1"/>
  <c r="F216" i="8"/>
  <c r="I216" i="8" s="1"/>
  <c r="J216" i="8" s="1"/>
  <c r="I215" i="8"/>
  <c r="J215" i="8" s="1"/>
  <c r="H214" i="8"/>
  <c r="J214" i="8" s="1"/>
  <c r="H213" i="8"/>
  <c r="J213" i="8" s="1"/>
  <c r="H212" i="8"/>
  <c r="J212" i="8" s="1"/>
  <c r="F207" i="8"/>
  <c r="I207" i="8" s="1"/>
  <c r="J207" i="8" s="1"/>
  <c r="I206" i="8"/>
  <c r="J206" i="8" s="1"/>
  <c r="H205" i="8"/>
  <c r="J205" i="8" s="1"/>
  <c r="H204" i="8"/>
  <c r="J204" i="8" s="1"/>
  <c r="H203" i="8"/>
  <c r="J203" i="8" s="1"/>
  <c r="F198" i="8"/>
  <c r="I198" i="8" s="1"/>
  <c r="J198" i="8" s="1"/>
  <c r="I197" i="8"/>
  <c r="J197" i="8" s="1"/>
  <c r="H196" i="8"/>
  <c r="J196" i="8" s="1"/>
  <c r="H195" i="8"/>
  <c r="J195" i="8" s="1"/>
  <c r="H194" i="8"/>
  <c r="J194" i="8" s="1"/>
  <c r="I188" i="8"/>
  <c r="J188" i="8" s="1"/>
  <c r="F187" i="8"/>
  <c r="H187" i="8" s="1"/>
  <c r="J187" i="8" s="1"/>
  <c r="F186" i="8"/>
  <c r="H186" i="8" s="1"/>
  <c r="J186" i="8" s="1"/>
  <c r="H185" i="8"/>
  <c r="J185" i="8" s="1"/>
  <c r="I179" i="8"/>
  <c r="J179" i="8" s="1"/>
  <c r="F178" i="8"/>
  <c r="H178" i="8" s="1"/>
  <c r="J178" i="8" s="1"/>
  <c r="F177" i="8"/>
  <c r="H177" i="8" s="1"/>
  <c r="J177" i="8" s="1"/>
  <c r="H176" i="8"/>
  <c r="J176" i="8" s="1"/>
  <c r="H406" i="8" l="1"/>
  <c r="J403" i="8"/>
  <c r="H412" i="8"/>
  <c r="J410" i="8"/>
  <c r="I412" i="8"/>
  <c r="J411" i="8"/>
  <c r="H426" i="8"/>
  <c r="F201" i="1" s="1"/>
  <c r="J423" i="8"/>
  <c r="H419" i="8"/>
  <c r="F189" i="1" s="1"/>
  <c r="J416" i="8"/>
  <c r="H433" i="8"/>
  <c r="J430" i="8"/>
  <c r="H439" i="8"/>
  <c r="F209" i="1" s="1"/>
  <c r="J437" i="8"/>
  <c r="I439" i="8"/>
  <c r="G209" i="1" s="1"/>
  <c r="J438" i="8"/>
  <c r="G353" i="1"/>
  <c r="H323" i="1"/>
  <c r="H324" i="1"/>
  <c r="H322" i="1"/>
  <c r="G335" i="1"/>
  <c r="H321" i="1"/>
  <c r="F149" i="1"/>
  <c r="F204" i="1"/>
  <c r="F358" i="1"/>
  <c r="G354" i="1"/>
  <c r="G356" i="1"/>
  <c r="G345" i="1"/>
  <c r="F147" i="1"/>
  <c r="I309" i="8"/>
  <c r="F151" i="1"/>
  <c r="G183" i="1"/>
  <c r="F359" i="1"/>
  <c r="G343" i="1"/>
  <c r="F148" i="1"/>
  <c r="F203" i="1"/>
  <c r="F207" i="1"/>
  <c r="F202" i="1"/>
  <c r="G349" i="1"/>
  <c r="G359" i="1"/>
  <c r="G352" i="1"/>
  <c r="G336" i="1"/>
  <c r="F181" i="1"/>
  <c r="G350" i="1"/>
  <c r="J295" i="8"/>
  <c r="I302" i="8"/>
  <c r="F150" i="1"/>
  <c r="J323" i="8"/>
  <c r="I330" i="8"/>
  <c r="J353" i="8"/>
  <c r="I362" i="8"/>
  <c r="G348" i="1"/>
  <c r="G358" i="1"/>
  <c r="G339" i="1"/>
  <c r="G361" i="1"/>
  <c r="G338" i="1"/>
  <c r="H375" i="1"/>
  <c r="I323" i="8"/>
  <c r="I295" i="8"/>
  <c r="I353" i="8"/>
  <c r="I384" i="8"/>
  <c r="G167" i="1" s="1"/>
  <c r="I288" i="8"/>
  <c r="G169" i="1" s="1"/>
  <c r="J309" i="8"/>
  <c r="I316" i="8"/>
  <c r="J337" i="8"/>
  <c r="I345" i="8"/>
  <c r="G205" i="1" s="1"/>
  <c r="I369" i="8"/>
  <c r="G165" i="1" s="1"/>
  <c r="I391" i="8"/>
  <c r="G168" i="1" s="1"/>
  <c r="J330" i="8"/>
  <c r="J345" i="8"/>
  <c r="J574" i="8"/>
  <c r="J564" i="8"/>
  <c r="J513" i="8"/>
  <c r="J520" i="8"/>
  <c r="J506" i="8"/>
  <c r="J412" i="8"/>
  <c r="I419" i="8"/>
  <c r="I426" i="8"/>
  <c r="I433" i="8"/>
  <c r="J302" i="8"/>
  <c r="I337" i="8"/>
  <c r="J362" i="8"/>
  <c r="H399" i="8"/>
  <c r="I399" i="8"/>
  <c r="F183" i="1"/>
  <c r="I406" i="8"/>
  <c r="J316" i="8"/>
  <c r="F206" i="1"/>
  <c r="I375" i="8"/>
  <c r="I376" i="8" s="1"/>
  <c r="G166" i="1" s="1"/>
  <c r="H208" i="8"/>
  <c r="I217" i="8"/>
  <c r="I226" i="8"/>
  <c r="H235" i="8"/>
  <c r="H199" i="8"/>
  <c r="H244" i="8"/>
  <c r="I253" i="8"/>
  <c r="I281" i="8"/>
  <c r="H181" i="8"/>
  <c r="H190" i="8"/>
  <c r="I199" i="8"/>
  <c r="I208" i="8"/>
  <c r="H217" i="8"/>
  <c r="H226" i="8"/>
  <c r="I235" i="8"/>
  <c r="I244" i="8"/>
  <c r="H253" i="8"/>
  <c r="H262" i="8"/>
  <c r="H272" i="8"/>
  <c r="I272" i="8"/>
  <c r="H281" i="8"/>
  <c r="I262" i="8"/>
  <c r="F189" i="8"/>
  <c r="I189" i="8" s="1"/>
  <c r="F180" i="8"/>
  <c r="I180" i="8" s="1"/>
  <c r="J171" i="8"/>
  <c r="I171" i="8"/>
  <c r="I172" i="8" s="1"/>
  <c r="J170" i="8"/>
  <c r="H170" i="8"/>
  <c r="H172" i="8" s="1"/>
  <c r="J165" i="8"/>
  <c r="I165" i="8"/>
  <c r="I166" i="8" s="1"/>
  <c r="J164" i="8"/>
  <c r="H164" i="8"/>
  <c r="H166" i="8" s="1"/>
  <c r="I148" i="8"/>
  <c r="J148" i="8" s="1"/>
  <c r="I147" i="8"/>
  <c r="J147" i="8" s="1"/>
  <c r="H146" i="8"/>
  <c r="J146" i="8" s="1"/>
  <c r="H145" i="8"/>
  <c r="J145" i="8" s="1"/>
  <c r="H144" i="8"/>
  <c r="J144" i="8" s="1"/>
  <c r="I159" i="8"/>
  <c r="J159" i="8" s="1"/>
  <c r="I158" i="8"/>
  <c r="J158" i="8" s="1"/>
  <c r="H156" i="8"/>
  <c r="J156" i="8" s="1"/>
  <c r="H155" i="8"/>
  <c r="J155" i="8" s="1"/>
  <c r="H154" i="8"/>
  <c r="J154" i="8" s="1"/>
  <c r="H153" i="8"/>
  <c r="J153" i="8" s="1"/>
  <c r="I139" i="8"/>
  <c r="J139" i="8" s="1"/>
  <c r="I138" i="8"/>
  <c r="J138" i="8" s="1"/>
  <c r="H137" i="8"/>
  <c r="I125" i="8"/>
  <c r="J125" i="8" s="1"/>
  <c r="I124" i="8"/>
  <c r="J124" i="8" s="1"/>
  <c r="H123" i="8"/>
  <c r="H130" i="8"/>
  <c r="I118" i="8"/>
  <c r="J118" i="8" s="1"/>
  <c r="I117" i="8"/>
  <c r="J117" i="8" s="1"/>
  <c r="H116" i="8"/>
  <c r="J116" i="8" s="1"/>
  <c r="I110" i="8"/>
  <c r="J110" i="8" s="1"/>
  <c r="I109" i="8"/>
  <c r="J109" i="8" s="1"/>
  <c r="H108" i="8"/>
  <c r="J108" i="8" s="1"/>
  <c r="H107" i="8"/>
  <c r="J107" i="8" s="1"/>
  <c r="I102" i="8"/>
  <c r="J102" i="8" s="1"/>
  <c r="I101" i="8"/>
  <c r="J101" i="8" s="1"/>
  <c r="H100" i="8"/>
  <c r="I96" i="8"/>
  <c r="J96" i="8" s="1"/>
  <c r="I95" i="8"/>
  <c r="J95" i="8" s="1"/>
  <c r="H94" i="8"/>
  <c r="J94" i="8" s="1"/>
  <c r="H93" i="8"/>
  <c r="J93" i="8" s="1"/>
  <c r="H92" i="8"/>
  <c r="J92" i="8" s="1"/>
  <c r="H91" i="8"/>
  <c r="J91" i="8" s="1"/>
  <c r="H90" i="8"/>
  <c r="J90" i="8" s="1"/>
  <c r="I81" i="8"/>
  <c r="H80" i="8"/>
  <c r="H81" i="8" s="1"/>
  <c r="F61" i="1" s="1"/>
  <c r="I76" i="8"/>
  <c r="J76" i="8" s="1"/>
  <c r="I75" i="8"/>
  <c r="H74" i="8"/>
  <c r="J74" i="8" s="1"/>
  <c r="H73" i="8"/>
  <c r="J73" i="8" s="1"/>
  <c r="H72" i="8"/>
  <c r="J72" i="8" s="1"/>
  <c r="H71" i="8"/>
  <c r="I67" i="8"/>
  <c r="G58" i="1" s="1"/>
  <c r="H67" i="8"/>
  <c r="J66" i="8"/>
  <c r="I63" i="8"/>
  <c r="G57" i="1" s="1"/>
  <c r="H63" i="8"/>
  <c r="F57" i="1" s="1"/>
  <c r="J62" i="8"/>
  <c r="I59" i="8"/>
  <c r="G56" i="1" s="1"/>
  <c r="H59" i="8"/>
  <c r="F56" i="1" s="1"/>
  <c r="J58" i="8"/>
  <c r="I55" i="8"/>
  <c r="G55" i="1" s="1"/>
  <c r="H55" i="8"/>
  <c r="F55" i="1" s="1"/>
  <c r="J54" i="8"/>
  <c r="I50" i="8"/>
  <c r="G54" i="1" s="1"/>
  <c r="H50" i="8"/>
  <c r="F54" i="1" s="1"/>
  <c r="J49" i="8"/>
  <c r="I46" i="8"/>
  <c r="G53" i="1" s="1"/>
  <c r="H46" i="8"/>
  <c r="J45" i="8"/>
  <c r="I42" i="8"/>
  <c r="G52" i="1" s="1"/>
  <c r="H42" i="8"/>
  <c r="F52" i="1" s="1"/>
  <c r="J41" i="8"/>
  <c r="I38" i="8"/>
  <c r="G51" i="1" s="1"/>
  <c r="H38" i="8"/>
  <c r="J37" i="8"/>
  <c r="F31" i="8"/>
  <c r="I31" i="8" s="1"/>
  <c r="J31" i="8" s="1"/>
  <c r="F30" i="8"/>
  <c r="I30" i="8" s="1"/>
  <c r="J30" i="8" s="1"/>
  <c r="H29" i="8"/>
  <c r="J29" i="8" s="1"/>
  <c r="H28" i="8"/>
  <c r="J28" i="8" s="1"/>
  <c r="H26" i="8"/>
  <c r="J26" i="8" s="1"/>
  <c r="H25" i="8"/>
  <c r="J25" i="8" s="1"/>
  <c r="H24" i="8"/>
  <c r="J24" i="8" s="1"/>
  <c r="H23" i="8"/>
  <c r="J23" i="8" s="1"/>
  <c r="H22" i="8"/>
  <c r="J22" i="8" s="1"/>
  <c r="H21" i="8"/>
  <c r="J21" i="8" s="1"/>
  <c r="H20" i="8"/>
  <c r="J20" i="8" s="1"/>
  <c r="I16" i="8"/>
  <c r="H15" i="8"/>
  <c r="H16" i="8" s="1"/>
  <c r="F19" i="1" s="1"/>
  <c r="I12" i="8"/>
  <c r="H11" i="8"/>
  <c r="H12" i="8" s="1"/>
  <c r="F12" i="1" s="1"/>
  <c r="I8" i="8"/>
  <c r="H7" i="8"/>
  <c r="H8" i="8" s="1"/>
  <c r="F11" i="1" s="1"/>
  <c r="I190" i="8" l="1"/>
  <c r="J189" i="8"/>
  <c r="H140" i="8"/>
  <c r="F112" i="1" s="1"/>
  <c r="J137" i="8"/>
  <c r="I181" i="8"/>
  <c r="J180" i="8"/>
  <c r="J439" i="8"/>
  <c r="H103" i="8"/>
  <c r="F94" i="1" s="1"/>
  <c r="J100" i="8"/>
  <c r="H133" i="8"/>
  <c r="F111" i="1" s="1"/>
  <c r="J130" i="8"/>
  <c r="H126" i="8"/>
  <c r="F107" i="1" s="1"/>
  <c r="J123" i="8"/>
  <c r="J71" i="8"/>
  <c r="H77" i="8"/>
  <c r="F59" i="1" s="1"/>
  <c r="J75" i="8"/>
  <c r="I77" i="8"/>
  <c r="G59" i="1" s="1"/>
  <c r="G201" i="1"/>
  <c r="J318" i="1"/>
  <c r="H318" i="1"/>
  <c r="H54" i="1"/>
  <c r="J172" i="8"/>
  <c r="J166" i="8"/>
  <c r="F118" i="1"/>
  <c r="F120" i="1"/>
  <c r="G141" i="1"/>
  <c r="G134" i="1"/>
  <c r="F137" i="1"/>
  <c r="G149" i="1"/>
  <c r="G139" i="1"/>
  <c r="G207" i="1"/>
  <c r="G138" i="1"/>
  <c r="G146" i="1"/>
  <c r="G181" i="1"/>
  <c r="G151" i="1"/>
  <c r="F53" i="1"/>
  <c r="G137" i="1"/>
  <c r="G133" i="1"/>
  <c r="G136" i="1"/>
  <c r="G204" i="1"/>
  <c r="G189" i="1"/>
  <c r="G61" i="1"/>
  <c r="G118" i="1"/>
  <c r="G120" i="1"/>
  <c r="G140" i="1"/>
  <c r="F140" i="1"/>
  <c r="F132" i="1"/>
  <c r="F138" i="1"/>
  <c r="G135" i="1"/>
  <c r="G177" i="1"/>
  <c r="G150" i="1"/>
  <c r="G206" i="1"/>
  <c r="F51" i="1"/>
  <c r="F131" i="1"/>
  <c r="F133" i="1"/>
  <c r="F134" i="1"/>
  <c r="F177" i="1"/>
  <c r="G202" i="1"/>
  <c r="G147" i="1"/>
  <c r="G203" i="1"/>
  <c r="G148" i="1"/>
  <c r="J384" i="8"/>
  <c r="J369" i="8"/>
  <c r="J288" i="8"/>
  <c r="J406" i="8"/>
  <c r="J433" i="8"/>
  <c r="J391" i="8"/>
  <c r="J419" i="8"/>
  <c r="J426" i="8"/>
  <c r="J399" i="8"/>
  <c r="J376" i="8"/>
  <c r="J262" i="8"/>
  <c r="J190" i="8"/>
  <c r="G132" i="1"/>
  <c r="J281" i="8"/>
  <c r="F146" i="1"/>
  <c r="J272" i="8"/>
  <c r="F141" i="1"/>
  <c r="J253" i="8"/>
  <c r="F139" i="1"/>
  <c r="J217" i="8"/>
  <c r="F135" i="1"/>
  <c r="J235" i="8"/>
  <c r="J199" i="8"/>
  <c r="J181" i="8"/>
  <c r="G131" i="1"/>
  <c r="J226" i="8"/>
  <c r="F136" i="1"/>
  <c r="J244" i="8"/>
  <c r="J208" i="8"/>
  <c r="H111" i="8"/>
  <c r="I111" i="8"/>
  <c r="I149" i="8"/>
  <c r="I126" i="8"/>
  <c r="H160" i="8"/>
  <c r="I160" i="8"/>
  <c r="I103" i="8"/>
  <c r="H149" i="8"/>
  <c r="I140" i="8"/>
  <c r="I133" i="8"/>
  <c r="H119" i="8"/>
  <c r="I119" i="8"/>
  <c r="H97" i="8"/>
  <c r="I97" i="8"/>
  <c r="J81" i="8"/>
  <c r="H32" i="8"/>
  <c r="F45" i="1" s="1"/>
  <c r="J42" i="8"/>
  <c r="J50" i="8"/>
  <c r="J55" i="8"/>
  <c r="J63" i="8"/>
  <c r="J59" i="8"/>
  <c r="J67" i="8"/>
  <c r="F58" i="1"/>
  <c r="J38" i="8"/>
  <c r="J46" i="8"/>
  <c r="J12" i="8"/>
  <c r="J16" i="8"/>
  <c r="J19" i="8"/>
  <c r="I32" i="8"/>
  <c r="J8" i="8"/>
  <c r="J77" i="8" l="1"/>
  <c r="H169" i="1"/>
  <c r="G82" i="1"/>
  <c r="G94" i="1"/>
  <c r="G98" i="1"/>
  <c r="G112" i="1"/>
  <c r="F115" i="1"/>
  <c r="F97" i="1"/>
  <c r="G45" i="1"/>
  <c r="G107" i="1"/>
  <c r="G111" i="1"/>
  <c r="G113" i="1"/>
  <c r="G115" i="1"/>
  <c r="G97" i="1"/>
  <c r="J133" i="8"/>
  <c r="J126" i="8"/>
  <c r="J111" i="8"/>
  <c r="J140" i="8"/>
  <c r="J103" i="8"/>
  <c r="J160" i="8"/>
  <c r="J149" i="8"/>
  <c r="F113" i="1"/>
  <c r="J119" i="8"/>
  <c r="F98" i="1"/>
  <c r="J97" i="8"/>
  <c r="F82" i="1"/>
  <c r="J32" i="8"/>
  <c r="H83" i="1" l="1"/>
  <c r="H333" i="1" l="1"/>
  <c r="H181" i="1" l="1"/>
  <c r="H180" i="1"/>
  <c r="H131" i="1" l="1"/>
  <c r="H330" i="1"/>
  <c r="H101" i="1" l="1"/>
  <c r="H111" i="1" l="1"/>
  <c r="H110" i="1"/>
  <c r="H88" i="1" l="1"/>
  <c r="H233" i="1" l="1"/>
  <c r="H77" i="1" l="1"/>
  <c r="H51" i="1" l="1"/>
  <c r="H58" i="1" l="1"/>
  <c r="H115" i="1" l="1"/>
  <c r="H114" i="1" s="1"/>
  <c r="C18" i="10" s="1"/>
  <c r="H59" i="1"/>
  <c r="H53" i="1"/>
  <c r="H52" i="1"/>
  <c r="H99" i="1" l="1"/>
  <c r="H100" i="1"/>
  <c r="H94" i="1"/>
  <c r="H63" i="1"/>
  <c r="H35" i="1" l="1"/>
  <c r="H36" i="1"/>
  <c r="H34" i="1"/>
  <c r="H33" i="1"/>
  <c r="H31" i="1"/>
  <c r="A42" i="10" l="1"/>
  <c r="B41" i="10"/>
  <c r="C88" i="2" s="1"/>
  <c r="B42" i="10"/>
  <c r="C90" i="2" s="1"/>
  <c r="H361" i="1"/>
  <c r="H343" i="1"/>
  <c r="H304" i="1"/>
  <c r="H303"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30" i="1"/>
  <c r="H231" i="1"/>
  <c r="H232" i="1"/>
  <c r="H200" i="1"/>
  <c r="H201" i="1"/>
  <c r="H202" i="1"/>
  <c r="H203" i="1"/>
  <c r="H204" i="1"/>
  <c r="H205" i="1"/>
  <c r="H206" i="1"/>
  <c r="H207" i="1"/>
  <c r="H208" i="1"/>
  <c r="H209" i="1"/>
  <c r="H210" i="1"/>
  <c r="H211" i="1"/>
  <c r="H134" i="1"/>
  <c r="H135" i="1"/>
  <c r="H136" i="1"/>
  <c r="H137" i="1"/>
  <c r="H138" i="1"/>
  <c r="H139" i="1"/>
  <c r="H140" i="1"/>
  <c r="H141" i="1"/>
  <c r="H142" i="1"/>
  <c r="H143" i="1"/>
  <c r="H145" i="1"/>
  <c r="H146" i="1"/>
  <c r="H147" i="1"/>
  <c r="H148" i="1"/>
  <c r="H149" i="1"/>
  <c r="H150" i="1"/>
  <c r="H151" i="1"/>
  <c r="H152" i="1"/>
  <c r="H153" i="1"/>
  <c r="H154" i="1"/>
  <c r="H300" i="1" l="1"/>
  <c r="H241" i="1"/>
  <c r="C27" i="10" s="1"/>
  <c r="H41" i="1"/>
  <c r="H42" i="1"/>
  <c r="H429" i="1"/>
  <c r="H427" i="1"/>
  <c r="H189" i="1"/>
  <c r="H179" i="1"/>
  <c r="H183" i="1"/>
  <c r="H176" i="1"/>
  <c r="H122" i="1"/>
  <c r="H121" i="1" s="1"/>
  <c r="C20" i="10" s="1"/>
  <c r="H426" i="1" l="1"/>
  <c r="C41" i="10" s="1"/>
  <c r="H428" i="1"/>
  <c r="C42" i="10" s="1"/>
  <c r="H360" i="1" l="1"/>
  <c r="H71" i="1" l="1"/>
  <c r="I85" i="8"/>
  <c r="J85" i="8" s="1"/>
  <c r="D30" i="11" l="1"/>
  <c r="K5" i="1" s="1"/>
  <c r="D30" i="3"/>
  <c r="E29" i="3"/>
  <c r="E28" i="3"/>
  <c r="E27" i="3"/>
  <c r="E26" i="3"/>
  <c r="F25" i="3" s="1"/>
  <c r="E25" i="3"/>
  <c r="I54" i="1" l="1"/>
  <c r="I66" i="1"/>
  <c r="I358" i="1"/>
  <c r="I61" i="1"/>
  <c r="I59" i="1"/>
  <c r="I217" i="1"/>
  <c r="I214" i="1"/>
  <c r="I425" i="1"/>
  <c r="I202" i="1"/>
  <c r="I56" i="1"/>
  <c r="I53" i="1"/>
  <c r="I57" i="1"/>
  <c r="I55" i="1"/>
  <c r="I52" i="1"/>
  <c r="I51" i="1"/>
  <c r="I58" i="1"/>
  <c r="K7" i="1"/>
  <c r="G436" i="1"/>
  <c r="H435" i="1"/>
  <c r="I377" i="1" l="1"/>
  <c r="J377" i="1"/>
  <c r="I68" i="1"/>
  <c r="J68" i="1"/>
  <c r="I67" i="1"/>
  <c r="J67" i="1"/>
  <c r="I322" i="1"/>
  <c r="J322" i="1"/>
  <c r="I225" i="1"/>
  <c r="I226" i="1"/>
  <c r="I321" i="1"/>
  <c r="I307" i="1"/>
  <c r="I324" i="1"/>
  <c r="I308" i="1"/>
  <c r="I310" i="1"/>
  <c r="I319" i="1"/>
  <c r="I314" i="1"/>
  <c r="I323" i="1"/>
  <c r="I316" i="1"/>
  <c r="I309" i="1"/>
  <c r="I317" i="1"/>
  <c r="I304" i="1"/>
  <c r="I318" i="1"/>
  <c r="K318" i="1" s="1"/>
  <c r="I312" i="1"/>
  <c r="I315" i="1"/>
  <c r="I320" i="1"/>
  <c r="I311" i="1"/>
  <c r="I313" i="1"/>
  <c r="I306" i="1"/>
  <c r="I418" i="1"/>
  <c r="I129" i="1"/>
  <c r="I145" i="1"/>
  <c r="I393" i="1"/>
  <c r="I240" i="1"/>
  <c r="J240" i="1"/>
  <c r="J54" i="1"/>
  <c r="K54" i="1" s="1"/>
  <c r="I249" i="1"/>
  <c r="I257" i="1"/>
  <c r="I271" i="1"/>
  <c r="I277" i="1"/>
  <c r="I283" i="1"/>
  <c r="I291" i="1"/>
  <c r="I253" i="1"/>
  <c r="I267" i="1"/>
  <c r="I273" i="1"/>
  <c r="I287" i="1"/>
  <c r="I288" i="1"/>
  <c r="I263" i="1"/>
  <c r="I281" i="1"/>
  <c r="I242" i="1"/>
  <c r="I250" i="1"/>
  <c r="I258" i="1"/>
  <c r="I264" i="1"/>
  <c r="I278" i="1"/>
  <c r="I284" i="1"/>
  <c r="I260" i="1"/>
  <c r="I272" i="1"/>
  <c r="I293" i="1"/>
  <c r="I268" i="1"/>
  <c r="I275" i="1"/>
  <c r="I256" i="1"/>
  <c r="I290" i="1"/>
  <c r="I243" i="1"/>
  <c r="I251" i="1"/>
  <c r="I259" i="1"/>
  <c r="I265" i="1"/>
  <c r="I279" i="1"/>
  <c r="I285" i="1"/>
  <c r="I292" i="1"/>
  <c r="I252" i="1"/>
  <c r="I266" i="1"/>
  <c r="I286" i="1"/>
  <c r="I261" i="1"/>
  <c r="I294" i="1"/>
  <c r="I254" i="1"/>
  <c r="I274" i="1"/>
  <c r="I295" i="1"/>
  <c r="I269" i="1"/>
  <c r="I296" i="1"/>
  <c r="I270" i="1"/>
  <c r="I244" i="1"/>
  <c r="I262" i="1"/>
  <c r="I255" i="1"/>
  <c r="I282" i="1"/>
  <c r="I245" i="1"/>
  <c r="I246" i="1"/>
  <c r="I280" i="1"/>
  <c r="I247" i="1"/>
  <c r="I289" i="1"/>
  <c r="I276" i="1"/>
  <c r="I248" i="1"/>
  <c r="I63" i="1"/>
  <c r="I353" i="1"/>
  <c r="I354" i="1"/>
  <c r="J55" i="1"/>
  <c r="J256" i="1"/>
  <c r="J272" i="1"/>
  <c r="J290" i="1"/>
  <c r="J218" i="1"/>
  <c r="J283" i="1"/>
  <c r="J56" i="1"/>
  <c r="J257" i="1"/>
  <c r="J273" i="1"/>
  <c r="J291" i="1"/>
  <c r="J58" i="1"/>
  <c r="K58" i="1" s="1"/>
  <c r="J258" i="1"/>
  <c r="J274" i="1"/>
  <c r="J285" i="1"/>
  <c r="J253" i="1"/>
  <c r="J214" i="1"/>
  <c r="J259" i="1"/>
  <c r="J275" i="1"/>
  <c r="J292" i="1"/>
  <c r="J215" i="1"/>
  <c r="J267" i="1"/>
  <c r="J269" i="1"/>
  <c r="J106" i="1"/>
  <c r="J260" i="1"/>
  <c r="J276" i="1"/>
  <c r="J293" i="1"/>
  <c r="J371" i="1"/>
  <c r="J261" i="1"/>
  <c r="J277" i="1"/>
  <c r="J294" i="1"/>
  <c r="J42" i="1"/>
  <c r="J364" i="1"/>
  <c r="J242" i="1"/>
  <c r="J262" i="1"/>
  <c r="J278" i="1"/>
  <c r="J295" i="1"/>
  <c r="J244" i="1"/>
  <c r="J282" i="1"/>
  <c r="J249" i="1"/>
  <c r="J250" i="1"/>
  <c r="J287" i="1"/>
  <c r="J366" i="1"/>
  <c r="J243" i="1"/>
  <c r="J263" i="1"/>
  <c r="J279" i="1"/>
  <c r="J296" i="1"/>
  <c r="J251" i="1"/>
  <c r="J289" i="1"/>
  <c r="J19" i="1"/>
  <c r="J368" i="1"/>
  <c r="J245" i="1"/>
  <c r="J281" i="1"/>
  <c r="J266" i="1"/>
  <c r="J268" i="1"/>
  <c r="J369" i="1"/>
  <c r="J246" i="1"/>
  <c r="J264" i="1"/>
  <c r="J280" i="1"/>
  <c r="J216" i="1"/>
  <c r="J217" i="1"/>
  <c r="J219" i="1"/>
  <c r="J288" i="1"/>
  <c r="J370" i="1"/>
  <c r="J247" i="1"/>
  <c r="J265" i="1"/>
  <c r="J248" i="1"/>
  <c r="J284" i="1"/>
  <c r="J221" i="1"/>
  <c r="J254" i="1"/>
  <c r="J79" i="1"/>
  <c r="J363" i="1"/>
  <c r="J271" i="1"/>
  <c r="J255" i="1"/>
  <c r="J87" i="1"/>
  <c r="J220" i="1"/>
  <c r="J40" i="1"/>
  <c r="J252" i="1"/>
  <c r="J270" i="1"/>
  <c r="J286" i="1"/>
  <c r="J222" i="1"/>
  <c r="J41" i="1"/>
  <c r="J91" i="1"/>
  <c r="J223" i="1"/>
  <c r="J57" i="1"/>
  <c r="J164" i="1"/>
  <c r="J80" i="1"/>
  <c r="J53" i="1"/>
  <c r="K53" i="1" s="1"/>
  <c r="J52" i="1"/>
  <c r="K52" i="1" s="1"/>
  <c r="J88" i="1"/>
  <c r="J51" i="1"/>
  <c r="J365" i="1"/>
  <c r="J81" i="1"/>
  <c r="J205" i="1"/>
  <c r="J337" i="1"/>
  <c r="J375" i="1"/>
  <c r="J415" i="1"/>
  <c r="J199" i="1"/>
  <c r="J421" i="1"/>
  <c r="J195" i="1"/>
  <c r="J198" i="1"/>
  <c r="J188" i="1"/>
  <c r="J387" i="1"/>
  <c r="J128" i="1"/>
  <c r="J384" i="1"/>
  <c r="J360" i="1"/>
  <c r="J185" i="1"/>
  <c r="J178" i="1"/>
  <c r="J418" i="1"/>
  <c r="J367" i="1"/>
  <c r="J184" i="1"/>
  <c r="J130" i="1"/>
  <c r="J385" i="1"/>
  <c r="J101" i="1"/>
  <c r="J143" i="1"/>
  <c r="J129" i="1"/>
  <c r="J22" i="1"/>
  <c r="J92" i="1"/>
  <c r="J71" i="1"/>
  <c r="J103" i="1"/>
  <c r="J33" i="1"/>
  <c r="J93" i="1"/>
  <c r="J34" i="1"/>
  <c r="J14" i="1"/>
  <c r="J38" i="1"/>
  <c r="J25" i="1"/>
  <c r="J49" i="1"/>
  <c r="J12" i="1"/>
  <c r="J37" i="1"/>
  <c r="J11" i="1"/>
  <c r="J16" i="1"/>
  <c r="J63" i="1"/>
  <c r="J99" i="1"/>
  <c r="J83" i="1"/>
  <c r="J74" i="1"/>
  <c r="J102" i="1"/>
  <c r="J48" i="1"/>
  <c r="J108" i="1"/>
  <c r="J127" i="1"/>
  <c r="J24" i="1"/>
  <c r="J126" i="1"/>
  <c r="J119" i="1"/>
  <c r="J36" i="1"/>
  <c r="J17" i="1"/>
  <c r="J100" i="1"/>
  <c r="J47" i="1"/>
  <c r="J35" i="1"/>
  <c r="J15" i="1"/>
  <c r="J186" i="1"/>
  <c r="J192" i="1"/>
  <c r="J386" i="1"/>
  <c r="J193" i="1"/>
  <c r="J190" i="1"/>
  <c r="J179" i="1"/>
  <c r="J197" i="1"/>
  <c r="J196" i="1"/>
  <c r="J194" i="1"/>
  <c r="J182" i="1"/>
  <c r="J417" i="1"/>
  <c r="J191" i="1"/>
  <c r="J187" i="1"/>
  <c r="J173" i="1"/>
  <c r="J145" i="1"/>
  <c r="J125" i="1"/>
  <c r="J176" i="1"/>
  <c r="J124" i="1"/>
  <c r="J180" i="1"/>
  <c r="J175" i="1"/>
  <c r="J142" i="1"/>
  <c r="J200" i="1"/>
  <c r="J76" i="1"/>
  <c r="J95" i="1"/>
  <c r="J105" i="1"/>
  <c r="J26" i="1"/>
  <c r="J29" i="1"/>
  <c r="J90" i="1"/>
  <c r="J110" i="1"/>
  <c r="J109" i="1"/>
  <c r="J31" i="1"/>
  <c r="J104" i="1"/>
  <c r="J27" i="1"/>
  <c r="J75" i="1"/>
  <c r="J70" i="1"/>
  <c r="J64" i="1"/>
  <c r="J144" i="1"/>
  <c r="J32" i="1"/>
  <c r="J174" i="1"/>
  <c r="J122" i="1"/>
  <c r="J121" i="1" s="1"/>
  <c r="E20" i="10" s="1"/>
  <c r="J13" i="1"/>
  <c r="J28" i="1"/>
  <c r="J66" i="1"/>
  <c r="J65" i="1"/>
  <c r="J208" i="1"/>
  <c r="J389" i="1"/>
  <c r="J238" i="1"/>
  <c r="J157" i="1"/>
  <c r="J313" i="1"/>
  <c r="J237" i="1"/>
  <c r="J159" i="1"/>
  <c r="J407" i="1"/>
  <c r="J161" i="1"/>
  <c r="J329" i="1"/>
  <c r="J301" i="1"/>
  <c r="J232" i="1"/>
  <c r="J154" i="1"/>
  <c r="J320" i="1"/>
  <c r="J309" i="1"/>
  <c r="J235" i="1"/>
  <c r="J152" i="1"/>
  <c r="J327" i="1"/>
  <c r="J319" i="1"/>
  <c r="J317" i="1"/>
  <c r="J314" i="1"/>
  <c r="J408" i="1"/>
  <c r="J162" i="1"/>
  <c r="J153" i="1"/>
  <c r="J330" i="1"/>
  <c r="J315" i="1"/>
  <c r="J160" i="1"/>
  <c r="J307" i="1"/>
  <c r="J302" i="1"/>
  <c r="J331" i="1"/>
  <c r="J306" i="1"/>
  <c r="J239" i="1"/>
  <c r="J156" i="1"/>
  <c r="J227" i="1"/>
  <c r="J230" i="1"/>
  <c r="J211" i="1"/>
  <c r="J326" i="1"/>
  <c r="J163" i="1"/>
  <c r="J332" i="1"/>
  <c r="J225" i="1"/>
  <c r="J298" i="1"/>
  <c r="J406" i="1"/>
  <c r="J308" i="1"/>
  <c r="J310" i="1"/>
  <c r="J311" i="1"/>
  <c r="J229" i="1"/>
  <c r="J233" i="1"/>
  <c r="J228" i="1"/>
  <c r="J231" i="1"/>
  <c r="J324" i="1"/>
  <c r="J210" i="1"/>
  <c r="J328" i="1"/>
  <c r="J316" i="1"/>
  <c r="J334" i="1"/>
  <c r="J158" i="1"/>
  <c r="J333" i="1"/>
  <c r="J409" i="1"/>
  <c r="J299" i="1"/>
  <c r="J303" i="1"/>
  <c r="J226" i="1"/>
  <c r="J304" i="1"/>
  <c r="J312" i="1"/>
  <c r="J321" i="1"/>
  <c r="J323" i="1"/>
  <c r="J236" i="1"/>
  <c r="J420" i="1"/>
  <c r="J400" i="1"/>
  <c r="J411" i="1"/>
  <c r="J402" i="1"/>
  <c r="J405" i="1"/>
  <c r="J391" i="1"/>
  <c r="J390" i="1"/>
  <c r="J401" i="1"/>
  <c r="J412" i="1"/>
  <c r="J403" i="1"/>
  <c r="J392" i="1"/>
  <c r="J410" i="1"/>
  <c r="J344" i="1"/>
  <c r="J355" i="1"/>
  <c r="J170" i="1"/>
  <c r="J171" i="1"/>
  <c r="J18" i="1"/>
  <c r="J39" i="1"/>
  <c r="J84" i="1"/>
  <c r="J96" i="1"/>
  <c r="J23" i="1"/>
  <c r="J30" i="1"/>
  <c r="J77" i="1"/>
  <c r="J86" i="1"/>
  <c r="J89" i="1"/>
  <c r="J422" i="1"/>
  <c r="J404" i="1"/>
  <c r="J399" i="1"/>
  <c r="J425" i="1"/>
  <c r="J341" i="1"/>
  <c r="J380" i="1"/>
  <c r="J378" i="1"/>
  <c r="J423" i="1"/>
  <c r="J376" i="1"/>
  <c r="J398" i="1"/>
  <c r="J424" i="1"/>
  <c r="J382" i="1"/>
  <c r="J381" i="1"/>
  <c r="J342" i="1"/>
  <c r="J396" i="1"/>
  <c r="J379" i="1"/>
  <c r="J419" i="1"/>
  <c r="J393" i="1"/>
  <c r="J340" i="1"/>
  <c r="J373" i="1"/>
  <c r="J395" i="1"/>
  <c r="J394" i="1"/>
  <c r="J397" i="1"/>
  <c r="J414" i="1"/>
  <c r="J374" i="1"/>
  <c r="J353" i="1"/>
  <c r="J352" i="1"/>
  <c r="J209" i="1"/>
  <c r="J348" i="1"/>
  <c r="J358" i="1"/>
  <c r="J343" i="1"/>
  <c r="J183" i="1"/>
  <c r="J350" i="1"/>
  <c r="J345" i="1"/>
  <c r="J359" i="1"/>
  <c r="J356" i="1"/>
  <c r="J335" i="1"/>
  <c r="J361" i="1"/>
  <c r="J59" i="1"/>
  <c r="J354" i="1"/>
  <c r="J336" i="1"/>
  <c r="J338" i="1"/>
  <c r="J339" i="1"/>
  <c r="J349" i="1"/>
  <c r="J133" i="1"/>
  <c r="J61" i="1"/>
  <c r="J181" i="1"/>
  <c r="J139" i="1"/>
  <c r="J138" i="1"/>
  <c r="J150" i="1"/>
  <c r="J141" i="1"/>
  <c r="J203" i="1"/>
  <c r="J202" i="1"/>
  <c r="K202" i="1" s="1"/>
  <c r="J166" i="1"/>
  <c r="J137" i="1"/>
  <c r="J132" i="1"/>
  <c r="J207" i="1"/>
  <c r="J118" i="1"/>
  <c r="J177" i="1"/>
  <c r="J146" i="1"/>
  <c r="J131" i="1"/>
  <c r="J135" i="1"/>
  <c r="J165" i="1"/>
  <c r="J167" i="1"/>
  <c r="J136" i="1"/>
  <c r="J148" i="1"/>
  <c r="J189" i="1"/>
  <c r="J134" i="1"/>
  <c r="J149" i="1"/>
  <c r="J140" i="1"/>
  <c r="J204" i="1"/>
  <c r="J169" i="1"/>
  <c r="J151" i="1"/>
  <c r="J206" i="1"/>
  <c r="J147" i="1"/>
  <c r="J120" i="1"/>
  <c r="J201" i="1"/>
  <c r="J168" i="1"/>
  <c r="J98" i="1"/>
  <c r="J94" i="1"/>
  <c r="J82" i="1"/>
  <c r="J112" i="1"/>
  <c r="J111" i="1"/>
  <c r="J115" i="1"/>
  <c r="J114" i="1" s="1"/>
  <c r="E18" i="10" s="1"/>
  <c r="J107" i="1"/>
  <c r="J45" i="1"/>
  <c r="J113" i="1"/>
  <c r="J97" i="1"/>
  <c r="I435" i="1"/>
  <c r="I15" i="1"/>
  <c r="J435" i="1"/>
  <c r="I406" i="1"/>
  <c r="I407" i="1"/>
  <c r="I410" i="1"/>
  <c r="I420" i="1"/>
  <c r="I409" i="1"/>
  <c r="I408" i="1"/>
  <c r="I411" i="1"/>
  <c r="I412" i="1"/>
  <c r="I401" i="1"/>
  <c r="I402" i="1"/>
  <c r="I403" i="1"/>
  <c r="I405" i="1"/>
  <c r="I344" i="1"/>
  <c r="I29" i="1"/>
  <c r="I400" i="1"/>
  <c r="I392" i="1"/>
  <c r="I390" i="1"/>
  <c r="I391" i="1"/>
  <c r="I387" i="1"/>
  <c r="I368" i="1"/>
  <c r="I355" i="1"/>
  <c r="I369" i="1"/>
  <c r="I301" i="1"/>
  <c r="I302" i="1"/>
  <c r="J432" i="1"/>
  <c r="J431" i="1"/>
  <c r="J430" i="1"/>
  <c r="I430" i="1"/>
  <c r="I431" i="1"/>
  <c r="I171" i="1"/>
  <c r="I170" i="1"/>
  <c r="I18" i="1"/>
  <c r="I104" i="1"/>
  <c r="I14" i="1"/>
  <c r="I84" i="1"/>
  <c r="I96" i="1"/>
  <c r="I432" i="1"/>
  <c r="I169" i="1"/>
  <c r="I83" i="1"/>
  <c r="I333" i="1"/>
  <c r="I181" i="1"/>
  <c r="I180" i="1"/>
  <c r="I330" i="1"/>
  <c r="I101" i="1"/>
  <c r="I111" i="1"/>
  <c r="I110" i="1"/>
  <c r="I77" i="1"/>
  <c r="I233" i="1"/>
  <c r="I100" i="1"/>
  <c r="I115" i="1"/>
  <c r="I99" i="1"/>
  <c r="I94" i="1"/>
  <c r="I35" i="1"/>
  <c r="I34" i="1"/>
  <c r="I33" i="1"/>
  <c r="I31" i="1"/>
  <c r="I36" i="1"/>
  <c r="I122" i="1"/>
  <c r="I143" i="1"/>
  <c r="I211" i="1"/>
  <c r="J429" i="1"/>
  <c r="I153" i="1"/>
  <c r="I361" i="1"/>
  <c r="I343" i="1"/>
  <c r="I201" i="1"/>
  <c r="I208" i="1"/>
  <c r="I134" i="1"/>
  <c r="I141" i="1"/>
  <c r="I148" i="1"/>
  <c r="I150" i="1"/>
  <c r="I230" i="1"/>
  <c r="I152" i="1"/>
  <c r="I142" i="1"/>
  <c r="I149" i="1"/>
  <c r="I203" i="1"/>
  <c r="I210" i="1"/>
  <c r="I204" i="1"/>
  <c r="I151" i="1"/>
  <c r="I139" i="1"/>
  <c r="I179" i="1"/>
  <c r="I209" i="1"/>
  <c r="I135" i="1"/>
  <c r="I136" i="1"/>
  <c r="I236" i="1"/>
  <c r="I200" i="1"/>
  <c r="I303" i="1"/>
  <c r="I137" i="1"/>
  <c r="I189" i="1"/>
  <c r="I138" i="1"/>
  <c r="J427" i="1"/>
  <c r="J426" i="1" s="1"/>
  <c r="E41" i="10" s="1"/>
  <c r="I154" i="1"/>
  <c r="I231" i="1"/>
  <c r="I206" i="1"/>
  <c r="I232" i="1"/>
  <c r="I140" i="1"/>
  <c r="I144" i="1"/>
  <c r="I205" i="1"/>
  <c r="I183" i="1"/>
  <c r="I147" i="1"/>
  <c r="I176" i="1"/>
  <c r="I146" i="1"/>
  <c r="I207" i="1"/>
  <c r="I429" i="1"/>
  <c r="I41" i="1"/>
  <c r="I42" i="1"/>
  <c r="I427" i="1"/>
  <c r="I71" i="1"/>
  <c r="I360" i="1"/>
  <c r="J434" i="1"/>
  <c r="I434" i="1"/>
  <c r="H434" i="1"/>
  <c r="K321" i="1" l="1"/>
  <c r="K293" i="1"/>
  <c r="K265" i="1"/>
  <c r="K324" i="1"/>
  <c r="K377" i="1"/>
  <c r="K295" i="1"/>
  <c r="K254" i="1"/>
  <c r="K270" i="1"/>
  <c r="K290" i="1"/>
  <c r="K292" i="1"/>
  <c r="K251" i="1"/>
  <c r="K287" i="1"/>
  <c r="K284" i="1"/>
  <c r="K260" i="1"/>
  <c r="K288" i="1"/>
  <c r="K276" i="1"/>
  <c r="K273" i="1"/>
  <c r="K101" i="1"/>
  <c r="K280" i="1"/>
  <c r="K296" i="1"/>
  <c r="K257" i="1"/>
  <c r="K271" i="1"/>
  <c r="K286" i="1"/>
  <c r="K236" i="1"/>
  <c r="K256" i="1"/>
  <c r="K263" i="1"/>
  <c r="K277" i="1"/>
  <c r="K258" i="1"/>
  <c r="K323" i="1"/>
  <c r="K266" i="1"/>
  <c r="K252" i="1"/>
  <c r="K68" i="1"/>
  <c r="J62" i="1"/>
  <c r="K283" i="1"/>
  <c r="K272" i="1"/>
  <c r="K250" i="1"/>
  <c r="K267" i="1"/>
  <c r="K243" i="1"/>
  <c r="K67" i="1"/>
  <c r="K246" i="1"/>
  <c r="K281" i="1"/>
  <c r="K242" i="1"/>
  <c r="K259" i="1"/>
  <c r="K291" i="1"/>
  <c r="K248" i="1"/>
  <c r="K249" i="1"/>
  <c r="K253" i="1"/>
  <c r="K247" i="1"/>
  <c r="K261" i="1"/>
  <c r="K84" i="1"/>
  <c r="K245" i="1"/>
  <c r="K269" i="1"/>
  <c r="K322" i="1"/>
  <c r="K264" i="1"/>
  <c r="K268" i="1"/>
  <c r="K279" i="1"/>
  <c r="K244" i="1"/>
  <c r="K278" i="1"/>
  <c r="K289" i="1"/>
  <c r="K262" i="1"/>
  <c r="K275" i="1"/>
  <c r="K240" i="1"/>
  <c r="K255" i="1"/>
  <c r="K282" i="1"/>
  <c r="K294" i="1"/>
  <c r="K285" i="1"/>
  <c r="K274" i="1"/>
  <c r="K41" i="1"/>
  <c r="K140" i="1"/>
  <c r="K361" i="1"/>
  <c r="K176" i="1"/>
  <c r="K77" i="1"/>
  <c r="K100" i="1"/>
  <c r="K344" i="1"/>
  <c r="K144" i="1"/>
  <c r="K360" i="1"/>
  <c r="K142" i="1"/>
  <c r="K435" i="1"/>
  <c r="K94" i="1"/>
  <c r="K201" i="1"/>
  <c r="K409" i="1"/>
  <c r="K111" i="1"/>
  <c r="K387" i="1"/>
  <c r="K232" i="1"/>
  <c r="K15" i="1"/>
  <c r="K302" i="1"/>
  <c r="K390" i="1"/>
  <c r="K355" i="1"/>
  <c r="K204" i="1"/>
  <c r="K31" i="1"/>
  <c r="K33" i="1"/>
  <c r="K170" i="1"/>
  <c r="K303" i="1"/>
  <c r="K149" i="1"/>
  <c r="K206" i="1"/>
  <c r="K138" i="1"/>
  <c r="K189" i="1"/>
  <c r="K304" i="1"/>
  <c r="K420" i="1"/>
  <c r="K35" i="1"/>
  <c r="K330" i="1"/>
  <c r="K18" i="1"/>
  <c r="K391" i="1"/>
  <c r="K180" i="1"/>
  <c r="K408" i="1"/>
  <c r="K152" i="1"/>
  <c r="K147" i="1"/>
  <c r="K71" i="1"/>
  <c r="K151" i="1"/>
  <c r="K36" i="1"/>
  <c r="K368" i="1"/>
  <c r="K405" i="1"/>
  <c r="K200" i="1"/>
  <c r="K210" i="1"/>
  <c r="K134" i="1"/>
  <c r="K34" i="1"/>
  <c r="K104" i="1"/>
  <c r="K146" i="1"/>
  <c r="K154" i="1"/>
  <c r="K83" i="1"/>
  <c r="K169" i="1"/>
  <c r="K411" i="1"/>
  <c r="J428" i="1"/>
  <c r="E42" i="10" s="1"/>
  <c r="K333" i="1"/>
  <c r="K143" i="1"/>
  <c r="K14" i="1"/>
  <c r="K42" i="1"/>
  <c r="K203" i="1"/>
  <c r="I428" i="1"/>
  <c r="D42" i="10" s="1"/>
  <c r="K429" i="1"/>
  <c r="K231" i="1"/>
  <c r="K153" i="1"/>
  <c r="J305" i="1"/>
  <c r="K181" i="1"/>
  <c r="K171" i="1"/>
  <c r="K392" i="1"/>
  <c r="K301" i="1"/>
  <c r="I300" i="1"/>
  <c r="I426" i="1"/>
  <c r="D41" i="10" s="1"/>
  <c r="K427" i="1"/>
  <c r="K426" i="1" s="1"/>
  <c r="F41" i="10" s="1"/>
  <c r="D88" i="2" s="1"/>
  <c r="K136" i="1"/>
  <c r="K211" i="1"/>
  <c r="K99" i="1"/>
  <c r="K403" i="1"/>
  <c r="J224" i="1"/>
  <c r="K401" i="1"/>
  <c r="K209" i="1"/>
  <c r="I121" i="1"/>
  <c r="D20" i="10" s="1"/>
  <c r="K122" i="1"/>
  <c r="K121" i="1" s="1"/>
  <c r="F20" i="10" s="1"/>
  <c r="D42" i="2" s="1"/>
  <c r="J50" i="1"/>
  <c r="E11" i="10" s="1"/>
  <c r="K59" i="1"/>
  <c r="J300" i="1"/>
  <c r="E29" i="10" s="1"/>
  <c r="K230" i="1"/>
  <c r="K431" i="1"/>
  <c r="K400" i="1"/>
  <c r="K63" i="1"/>
  <c r="K29" i="1"/>
  <c r="K343" i="1"/>
  <c r="K207" i="1"/>
  <c r="K179" i="1"/>
  <c r="K150" i="1"/>
  <c r="I114" i="1"/>
  <c r="D18" i="10" s="1"/>
  <c r="K115" i="1"/>
  <c r="K114" i="1" s="1"/>
  <c r="F18" i="10" s="1"/>
  <c r="D36" i="2" s="1"/>
  <c r="K432" i="1"/>
  <c r="K430" i="1"/>
  <c r="K369" i="1"/>
  <c r="K410" i="1"/>
  <c r="K407" i="1"/>
  <c r="K183" i="1"/>
  <c r="K139" i="1"/>
  <c r="K412" i="1"/>
  <c r="K145" i="1"/>
  <c r="K148" i="1"/>
  <c r="K233" i="1"/>
  <c r="K96" i="1"/>
  <c r="K208" i="1"/>
  <c r="K135" i="1"/>
  <c r="K205" i="1"/>
  <c r="K137" i="1"/>
  <c r="K141" i="1"/>
  <c r="K110" i="1"/>
  <c r="K402" i="1"/>
  <c r="K406" i="1"/>
  <c r="K434" i="1"/>
  <c r="I433" i="1"/>
  <c r="D43" i="10" s="1"/>
  <c r="I424" i="1"/>
  <c r="H424" i="1"/>
  <c r="K36" i="2" l="1"/>
  <c r="J36" i="2"/>
  <c r="I88" i="2"/>
  <c r="J88" i="2"/>
  <c r="K88" i="2"/>
  <c r="G88" i="2"/>
  <c r="H88" i="2"/>
  <c r="G42" i="2"/>
  <c r="J42" i="2"/>
  <c r="K42" i="2"/>
  <c r="K300" i="1"/>
  <c r="F29" i="10" s="1"/>
  <c r="D62" i="2" s="1"/>
  <c r="G62" i="2" s="1"/>
  <c r="I42" i="2"/>
  <c r="H42" i="2"/>
  <c r="K428" i="1"/>
  <c r="F42" i="10" s="1"/>
  <c r="D90" i="2" s="1"/>
  <c r="H36" i="2"/>
  <c r="G36" i="2"/>
  <c r="I36" i="2"/>
  <c r="K424" i="1"/>
  <c r="K425" i="1"/>
  <c r="H422" i="1"/>
  <c r="I421" i="1"/>
  <c r="H421" i="1"/>
  <c r="H418" i="1"/>
  <c r="I417" i="1"/>
  <c r="H417" i="1"/>
  <c r="I415" i="1"/>
  <c r="H415" i="1"/>
  <c r="H62" i="2" l="1"/>
  <c r="I90" i="2"/>
  <c r="G90" i="2"/>
  <c r="H90" i="2"/>
  <c r="J90" i="2"/>
  <c r="K90" i="2"/>
  <c r="I62" i="2"/>
  <c r="J62" i="2"/>
  <c r="K62" i="2"/>
  <c r="L88" i="2"/>
  <c r="L42" i="2"/>
  <c r="L36" i="2"/>
  <c r="I423" i="1"/>
  <c r="K423" i="1" s="1"/>
  <c r="H423" i="1"/>
  <c r="I422" i="1"/>
  <c r="K422" i="1" s="1"/>
  <c r="I414" i="1"/>
  <c r="L62" i="2" l="1"/>
  <c r="L90" i="2"/>
  <c r="I413" i="1"/>
  <c r="D39" i="10" s="1"/>
  <c r="I404" i="1"/>
  <c r="H404" i="1"/>
  <c r="I399" i="1"/>
  <c r="H399" i="1"/>
  <c r="I398" i="1"/>
  <c r="H398" i="1"/>
  <c r="K398" i="1" l="1"/>
  <c r="K404" i="1"/>
  <c r="K399" i="1"/>
  <c r="I396" i="1"/>
  <c r="H396" i="1"/>
  <c r="I395" i="1"/>
  <c r="H395" i="1"/>
  <c r="I394" i="1"/>
  <c r="H394" i="1"/>
  <c r="K395" i="1" l="1"/>
  <c r="K396" i="1"/>
  <c r="K394" i="1"/>
  <c r="I389" i="1" l="1"/>
  <c r="H393" i="1" l="1"/>
  <c r="I385" i="1"/>
  <c r="H385" i="1"/>
  <c r="I384" i="1"/>
  <c r="H382" i="1"/>
  <c r="I376" i="1"/>
  <c r="I375" i="1"/>
  <c r="I374" i="1"/>
  <c r="I373" i="1"/>
  <c r="I371" i="1"/>
  <c r="K393" i="1" l="1"/>
  <c r="K384" i="1"/>
  <c r="H386" i="1"/>
  <c r="H389" i="1"/>
  <c r="K389" i="1"/>
  <c r="H371" i="1"/>
  <c r="I386" i="1"/>
  <c r="I383" i="1" s="1"/>
  <c r="H373" i="1"/>
  <c r="H374" i="1"/>
  <c r="H376" i="1"/>
  <c r="H384" i="1"/>
  <c r="I379" i="1"/>
  <c r="I382" i="1"/>
  <c r="I367" i="1"/>
  <c r="H367" i="1"/>
  <c r="I366" i="1"/>
  <c r="H366" i="1"/>
  <c r="I365" i="1"/>
  <c r="H365" i="1"/>
  <c r="I364" i="1"/>
  <c r="H364" i="1"/>
  <c r="I363" i="1"/>
  <c r="H363" i="1"/>
  <c r="I356" i="1"/>
  <c r="H356" i="1"/>
  <c r="H354" i="1"/>
  <c r="H353" i="1"/>
  <c r="I352" i="1"/>
  <c r="H352" i="1"/>
  <c r="H383" i="1" l="1"/>
  <c r="C37" i="10" s="1"/>
  <c r="H351" i="1"/>
  <c r="C33" i="10" s="1"/>
  <c r="J351" i="1"/>
  <c r="E33" i="10" s="1"/>
  <c r="K353" i="1"/>
  <c r="K356" i="1"/>
  <c r="I351" i="1"/>
  <c r="D33" i="10" s="1"/>
  <c r="K367" i="1"/>
  <c r="K352" i="1"/>
  <c r="K354" i="1"/>
  <c r="H370" i="1"/>
  <c r="H362" i="1" s="1"/>
  <c r="C35" i="10" s="1"/>
  <c r="I370" i="1"/>
  <c r="D37" i="10"/>
  <c r="K386" i="1"/>
  <c r="I359" i="1"/>
  <c r="K351" i="1" l="1"/>
  <c r="I362" i="1"/>
  <c r="D35" i="10" s="1"/>
  <c r="I357" i="1"/>
  <c r="D34" i="10" s="1"/>
  <c r="F33" i="10" l="1"/>
  <c r="D72" i="2" s="1"/>
  <c r="I345" i="1"/>
  <c r="H345" i="1"/>
  <c r="I342" i="1"/>
  <c r="H342" i="1"/>
  <c r="I341" i="1"/>
  <c r="H341" i="1"/>
  <c r="I340" i="1"/>
  <c r="H340" i="1"/>
  <c r="I339" i="1"/>
  <c r="H339" i="1"/>
  <c r="I338" i="1"/>
  <c r="H338" i="1"/>
  <c r="I337" i="1"/>
  <c r="H337" i="1"/>
  <c r="I336" i="1"/>
  <c r="H336" i="1"/>
  <c r="I335" i="1"/>
  <c r="H335" i="1"/>
  <c r="I329" i="1"/>
  <c r="H329" i="1"/>
  <c r="I326" i="1"/>
  <c r="J72" i="2" l="1"/>
  <c r="K72" i="2"/>
  <c r="I72" i="2"/>
  <c r="H72" i="2"/>
  <c r="G72" i="2"/>
  <c r="K335" i="1"/>
  <c r="K336" i="1"/>
  <c r="K337" i="1"/>
  <c r="K339" i="1"/>
  <c r="K341" i="1"/>
  <c r="K345" i="1"/>
  <c r="K338" i="1"/>
  <c r="K340" i="1"/>
  <c r="K342" i="1"/>
  <c r="H327" i="1"/>
  <c r="H328" i="1"/>
  <c r="I328" i="1"/>
  <c r="K328" i="1" s="1"/>
  <c r="I327" i="1"/>
  <c r="H326" i="1"/>
  <c r="H320" i="1"/>
  <c r="H319" i="1"/>
  <c r="H317" i="1"/>
  <c r="H316" i="1"/>
  <c r="H315" i="1"/>
  <c r="H314" i="1"/>
  <c r="H313" i="1"/>
  <c r="H310" i="1"/>
  <c r="H309" i="1"/>
  <c r="H308" i="1"/>
  <c r="H307" i="1"/>
  <c r="H306" i="1"/>
  <c r="L72" i="2" l="1"/>
  <c r="K306" i="1"/>
  <c r="K308" i="1"/>
  <c r="K310" i="1"/>
  <c r="K314" i="1"/>
  <c r="K316" i="1"/>
  <c r="K320" i="1"/>
  <c r="K307" i="1"/>
  <c r="K309" i="1"/>
  <c r="K313" i="1"/>
  <c r="K315" i="1"/>
  <c r="K317" i="1"/>
  <c r="K319" i="1"/>
  <c r="I299" i="1" l="1"/>
  <c r="H299" i="1"/>
  <c r="I298" i="1"/>
  <c r="H298" i="1"/>
  <c r="H297" i="1" l="1"/>
  <c r="K299" i="1"/>
  <c r="K298" i="1"/>
  <c r="J297" i="1"/>
  <c r="E28" i="10" s="1"/>
  <c r="I297" i="1"/>
  <c r="D28" i="10" s="1"/>
  <c r="J241" i="1"/>
  <c r="E27" i="10" s="1"/>
  <c r="I241" i="1"/>
  <c r="D27" i="10" s="1"/>
  <c r="I239" i="1"/>
  <c r="I238" i="1"/>
  <c r="I237" i="1"/>
  <c r="I235" i="1"/>
  <c r="I229" i="1"/>
  <c r="H229" i="1"/>
  <c r="I228" i="1"/>
  <c r="H228" i="1"/>
  <c r="I227" i="1"/>
  <c r="H227" i="1"/>
  <c r="H226" i="1"/>
  <c r="H225" i="1"/>
  <c r="I223" i="1"/>
  <c r="H223" i="1"/>
  <c r="I222" i="1"/>
  <c r="H222" i="1"/>
  <c r="I221" i="1"/>
  <c r="H221" i="1"/>
  <c r="I220" i="1"/>
  <c r="H220" i="1"/>
  <c r="I219" i="1"/>
  <c r="H219" i="1"/>
  <c r="I218" i="1"/>
  <c r="H218" i="1"/>
  <c r="H217" i="1"/>
  <c r="I216" i="1"/>
  <c r="H216" i="1"/>
  <c r="I215" i="1"/>
  <c r="H215" i="1"/>
  <c r="H214" i="1"/>
  <c r="I199" i="1"/>
  <c r="H199" i="1"/>
  <c r="I198" i="1"/>
  <c r="H198" i="1"/>
  <c r="I197" i="1"/>
  <c r="H197" i="1"/>
  <c r="I196" i="1"/>
  <c r="H196" i="1"/>
  <c r="I195" i="1"/>
  <c r="H195" i="1"/>
  <c r="I194" i="1"/>
  <c r="H194" i="1"/>
  <c r="I193" i="1"/>
  <c r="H193" i="1"/>
  <c r="I192" i="1"/>
  <c r="H192" i="1"/>
  <c r="I191" i="1"/>
  <c r="H191" i="1"/>
  <c r="I190" i="1"/>
  <c r="H190" i="1"/>
  <c r="I187" i="1"/>
  <c r="H187" i="1"/>
  <c r="I186" i="1"/>
  <c r="H186" i="1"/>
  <c r="I185" i="1"/>
  <c r="H185" i="1"/>
  <c r="I184" i="1"/>
  <c r="H184" i="1"/>
  <c r="I182" i="1"/>
  <c r="H182" i="1"/>
  <c r="I178" i="1"/>
  <c r="H178" i="1"/>
  <c r="I177" i="1"/>
  <c r="I175" i="1"/>
  <c r="H175" i="1"/>
  <c r="I174" i="1"/>
  <c r="H174" i="1"/>
  <c r="I173" i="1"/>
  <c r="H173" i="1"/>
  <c r="I161" i="1"/>
  <c r="H161" i="1"/>
  <c r="I160" i="1"/>
  <c r="H160" i="1"/>
  <c r="I159" i="1"/>
  <c r="H159" i="1"/>
  <c r="I158" i="1"/>
  <c r="H158" i="1"/>
  <c r="I156" i="1"/>
  <c r="H156" i="1"/>
  <c r="I132" i="1"/>
  <c r="H132" i="1"/>
  <c r="I131" i="1"/>
  <c r="I130" i="1"/>
  <c r="H130" i="1"/>
  <c r="H129" i="1"/>
  <c r="I128" i="1"/>
  <c r="H128" i="1"/>
  <c r="I127" i="1"/>
  <c r="H127" i="1"/>
  <c r="I126" i="1"/>
  <c r="H126" i="1"/>
  <c r="I125" i="1"/>
  <c r="H125" i="1"/>
  <c r="I124" i="1"/>
  <c r="H124" i="1"/>
  <c r="I120" i="1"/>
  <c r="H120" i="1"/>
  <c r="I119" i="1"/>
  <c r="H119" i="1"/>
  <c r="H224" i="1" l="1"/>
  <c r="C25" i="10" s="1"/>
  <c r="I224" i="1"/>
  <c r="D25" i="10" s="1"/>
  <c r="C28" i="10"/>
  <c r="H213" i="1"/>
  <c r="I213" i="1"/>
  <c r="K222" i="1"/>
  <c r="E25" i="10"/>
  <c r="K124" i="1"/>
  <c r="K158" i="1"/>
  <c r="K160" i="1"/>
  <c r="K225" i="1"/>
  <c r="K297" i="1"/>
  <c r="J213" i="1"/>
  <c r="K215" i="1"/>
  <c r="K217" i="1"/>
  <c r="H234" i="1"/>
  <c r="J234" i="1"/>
  <c r="E26" i="10" s="1"/>
  <c r="K237" i="1"/>
  <c r="K239" i="1"/>
  <c r="I234" i="1"/>
  <c r="D26" i="10" s="1"/>
  <c r="K219" i="1"/>
  <c r="K218" i="1"/>
  <c r="K221" i="1"/>
  <c r="K223" i="1"/>
  <c r="K226" i="1"/>
  <c r="K126" i="1"/>
  <c r="K128" i="1"/>
  <c r="K130" i="1"/>
  <c r="K132" i="1"/>
  <c r="K214" i="1"/>
  <c r="K220" i="1"/>
  <c r="K227" i="1"/>
  <c r="K229" i="1"/>
  <c r="K235" i="1"/>
  <c r="K238" i="1"/>
  <c r="K197" i="1"/>
  <c r="K194" i="1"/>
  <c r="K192" i="1"/>
  <c r="K187" i="1"/>
  <c r="K185" i="1"/>
  <c r="K182" i="1"/>
  <c r="K174" i="1"/>
  <c r="K120" i="1"/>
  <c r="K125" i="1"/>
  <c r="K127" i="1"/>
  <c r="K129" i="1"/>
  <c r="K131" i="1"/>
  <c r="K156" i="1"/>
  <c r="K159" i="1"/>
  <c r="K161" i="1"/>
  <c r="K173" i="1"/>
  <c r="K175" i="1"/>
  <c r="K178" i="1"/>
  <c r="K184" i="1"/>
  <c r="K186" i="1"/>
  <c r="K191" i="1"/>
  <c r="K193" i="1"/>
  <c r="K195" i="1"/>
  <c r="K199" i="1"/>
  <c r="K228" i="1"/>
  <c r="K119" i="1"/>
  <c r="K190" i="1"/>
  <c r="K196" i="1"/>
  <c r="K198" i="1"/>
  <c r="K216" i="1"/>
  <c r="I113" i="1"/>
  <c r="I109" i="1"/>
  <c r="H109" i="1"/>
  <c r="I108" i="1"/>
  <c r="H108" i="1"/>
  <c r="I106" i="1"/>
  <c r="H106" i="1"/>
  <c r="I105" i="1"/>
  <c r="H105" i="1"/>
  <c r="I103" i="1"/>
  <c r="H103" i="1"/>
  <c r="I102" i="1"/>
  <c r="H102" i="1"/>
  <c r="I95" i="1"/>
  <c r="H95" i="1"/>
  <c r="I93" i="1"/>
  <c r="H93" i="1"/>
  <c r="K234" i="1" l="1"/>
  <c r="K224" i="1"/>
  <c r="C26" i="10"/>
  <c r="F28" i="10"/>
  <c r="D60" i="2" s="1"/>
  <c r="C24" i="10"/>
  <c r="E24" i="10"/>
  <c r="D24" i="10"/>
  <c r="K241" i="1"/>
  <c r="K213" i="1"/>
  <c r="K102" i="1"/>
  <c r="K105" i="1"/>
  <c r="K108" i="1"/>
  <c r="K93" i="1"/>
  <c r="K103" i="1"/>
  <c r="K106" i="1"/>
  <c r="K109" i="1"/>
  <c r="K95" i="1"/>
  <c r="H113" i="1"/>
  <c r="K113" i="1"/>
  <c r="I98" i="1"/>
  <c r="I92" i="1"/>
  <c r="H60" i="2" l="1"/>
  <c r="J60" i="2"/>
  <c r="K60" i="2"/>
  <c r="I60" i="2"/>
  <c r="G60" i="2"/>
  <c r="F24" i="10"/>
  <c r="D52" i="2" s="1"/>
  <c r="F26" i="10"/>
  <c r="D56" i="2" s="1"/>
  <c r="F27" i="10"/>
  <c r="D58" i="2" s="1"/>
  <c r="F25" i="10"/>
  <c r="D54" i="2" s="1"/>
  <c r="K92" i="1"/>
  <c r="H92" i="1"/>
  <c r="I91" i="1"/>
  <c r="H91" i="1"/>
  <c r="I90" i="1"/>
  <c r="H90" i="1"/>
  <c r="I89" i="1"/>
  <c r="I88" i="1"/>
  <c r="I86" i="1"/>
  <c r="H86" i="1"/>
  <c r="I82" i="1"/>
  <c r="K54" i="2" l="1"/>
  <c r="J54" i="2"/>
  <c r="J58" i="2"/>
  <c r="K58" i="2"/>
  <c r="K56" i="2"/>
  <c r="J56" i="2"/>
  <c r="J52" i="2"/>
  <c r="K52" i="2"/>
  <c r="L60" i="2"/>
  <c r="H58" i="2"/>
  <c r="G58" i="2"/>
  <c r="I58" i="2"/>
  <c r="I52" i="2"/>
  <c r="H52" i="2"/>
  <c r="G52" i="2"/>
  <c r="H54" i="2"/>
  <c r="G54" i="2"/>
  <c r="I54" i="2"/>
  <c r="H56" i="2"/>
  <c r="I56" i="2"/>
  <c r="G56" i="2"/>
  <c r="K82" i="1"/>
  <c r="K88" i="1"/>
  <c r="K90" i="1"/>
  <c r="K91" i="1"/>
  <c r="K86" i="1"/>
  <c r="H87" i="1"/>
  <c r="I87" i="1"/>
  <c r="H82" i="1"/>
  <c r="I81" i="1"/>
  <c r="H81" i="1"/>
  <c r="I80" i="1"/>
  <c r="H80" i="1"/>
  <c r="I79" i="1"/>
  <c r="H79" i="1"/>
  <c r="L52" i="2" l="1"/>
  <c r="L56" i="2"/>
  <c r="L54" i="2"/>
  <c r="L58" i="2"/>
  <c r="K87" i="1"/>
  <c r="I78" i="1"/>
  <c r="D16" i="10" s="1"/>
  <c r="J78" i="1"/>
  <c r="E16" i="10" s="1"/>
  <c r="H78" i="1"/>
  <c r="C16" i="10" s="1"/>
  <c r="K79" i="1"/>
  <c r="K81" i="1"/>
  <c r="K80" i="1"/>
  <c r="I76" i="1"/>
  <c r="H76" i="1"/>
  <c r="I75" i="1"/>
  <c r="H75" i="1"/>
  <c r="I74" i="1"/>
  <c r="H74" i="1"/>
  <c r="I70" i="1"/>
  <c r="H70" i="1"/>
  <c r="K78" i="1" l="1"/>
  <c r="F16" i="10" s="1"/>
  <c r="D32" i="2" s="1"/>
  <c r="K76" i="1"/>
  <c r="K75" i="1"/>
  <c r="K74" i="1"/>
  <c r="H69" i="1"/>
  <c r="C14" i="10" s="1"/>
  <c r="I65" i="1"/>
  <c r="H64" i="1"/>
  <c r="I64" i="1"/>
  <c r="J60" i="1"/>
  <c r="E12" i="10" s="1"/>
  <c r="H61" i="1"/>
  <c r="H60" i="1" s="1"/>
  <c r="C12" i="10" s="1"/>
  <c r="H57" i="1"/>
  <c r="H56" i="1"/>
  <c r="H55" i="1"/>
  <c r="I62" i="1" l="1"/>
  <c r="J32" i="2"/>
  <c r="K32" i="2"/>
  <c r="H50" i="1"/>
  <c r="C11" i="10" s="1"/>
  <c r="I50" i="1"/>
  <c r="D11" i="10" s="1"/>
  <c r="G32" i="2"/>
  <c r="I32" i="2"/>
  <c r="H32" i="2"/>
  <c r="K56" i="1"/>
  <c r="K61" i="1"/>
  <c r="K60" i="1" s="1"/>
  <c r="F12" i="10" s="1"/>
  <c r="D24" i="2" s="1"/>
  <c r="K51" i="1"/>
  <c r="K55" i="1"/>
  <c r="K57" i="1"/>
  <c r="I60" i="1"/>
  <c r="D12" i="10" s="1"/>
  <c r="I69" i="1"/>
  <c r="D14" i="10" s="1"/>
  <c r="I49" i="1"/>
  <c r="H49" i="1"/>
  <c r="I48" i="1"/>
  <c r="H48" i="1"/>
  <c r="I47" i="1"/>
  <c r="H47" i="1"/>
  <c r="J24" i="2" l="1"/>
  <c r="K24" i="2"/>
  <c r="L32" i="2"/>
  <c r="G24" i="2"/>
  <c r="I24" i="2"/>
  <c r="H24" i="2"/>
  <c r="K50" i="1"/>
  <c r="F11" i="10" s="1"/>
  <c r="D22" i="2" s="1"/>
  <c r="I46" i="1"/>
  <c r="D10" i="10" s="1"/>
  <c r="K49" i="1"/>
  <c r="J46" i="1"/>
  <c r="E10" i="10" s="1"/>
  <c r="K48" i="1"/>
  <c r="H46" i="1"/>
  <c r="C10" i="10" s="1"/>
  <c r="K47" i="1"/>
  <c r="H45" i="1"/>
  <c r="H44" i="1" s="1"/>
  <c r="J22" i="2" l="1"/>
  <c r="K22" i="2"/>
  <c r="L24" i="2"/>
  <c r="I22" i="2"/>
  <c r="G22" i="2"/>
  <c r="H22" i="2"/>
  <c r="K46" i="1"/>
  <c r="I45" i="1"/>
  <c r="I44" i="1" s="1"/>
  <c r="L22" i="2" l="1"/>
  <c r="F10" i="10"/>
  <c r="D20" i="2" s="1"/>
  <c r="I30" i="1"/>
  <c r="I22" i="1"/>
  <c r="I19" i="1"/>
  <c r="H19" i="1"/>
  <c r="I17" i="1"/>
  <c r="I16" i="1"/>
  <c r="I13" i="1"/>
  <c r="I12" i="1"/>
  <c r="H12" i="1"/>
  <c r="I11" i="1"/>
  <c r="H11" i="1"/>
  <c r="J20" i="2" l="1"/>
  <c r="K20" i="2"/>
  <c r="I24" i="1"/>
  <c r="I28" i="1"/>
  <c r="I38" i="1"/>
  <c r="K13" i="1"/>
  <c r="K16" i="1"/>
  <c r="K17" i="1"/>
  <c r="I40" i="1"/>
  <c r="I20" i="2"/>
  <c r="H20" i="2"/>
  <c r="G20" i="2"/>
  <c r="H43" i="1"/>
  <c r="C9" i="10"/>
  <c r="K11" i="1"/>
  <c r="I10" i="1"/>
  <c r="D7" i="10" s="1"/>
  <c r="K12" i="1"/>
  <c r="K19" i="1"/>
  <c r="H23" i="1"/>
  <c r="H25" i="1"/>
  <c r="H26" i="1"/>
  <c r="H27" i="1"/>
  <c r="H32" i="1"/>
  <c r="H37" i="1"/>
  <c r="H39" i="1"/>
  <c r="K22" i="1"/>
  <c r="K30" i="1"/>
  <c r="H22" i="1"/>
  <c r="I23" i="1"/>
  <c r="K23" i="1" s="1"/>
  <c r="H24" i="1"/>
  <c r="I25" i="1"/>
  <c r="I26" i="1"/>
  <c r="I27" i="1"/>
  <c r="H28" i="1"/>
  <c r="H30" i="1"/>
  <c r="I32" i="1"/>
  <c r="I37" i="1"/>
  <c r="H38" i="1"/>
  <c r="I39" i="1"/>
  <c r="K39" i="1" s="1"/>
  <c r="H40" i="1"/>
  <c r="H13" i="1"/>
  <c r="H16" i="1"/>
  <c r="H17" i="1"/>
  <c r="B44" i="10"/>
  <c r="K10" i="1" l="1"/>
  <c r="L20" i="2"/>
  <c r="K26" i="1"/>
  <c r="K40" i="1"/>
  <c r="K32" i="1"/>
  <c r="K38" i="1"/>
  <c r="K24" i="1"/>
  <c r="K37" i="1"/>
  <c r="K27" i="1"/>
  <c r="K25" i="1"/>
  <c r="H21" i="1"/>
  <c r="C8" i="10" s="1"/>
  <c r="I21" i="1"/>
  <c r="D8" i="10" s="1"/>
  <c r="B43" i="10" l="1"/>
  <c r="A43" i="10"/>
  <c r="B40" i="10"/>
  <c r="A40" i="10"/>
  <c r="B39" i="10"/>
  <c r="A39" i="10"/>
  <c r="B38" i="10" l="1"/>
  <c r="A38" i="10"/>
  <c r="B37" i="10" l="1"/>
  <c r="A37" i="10"/>
  <c r="B36" i="10"/>
  <c r="A36" i="10"/>
  <c r="B35" i="10" l="1"/>
  <c r="A35" i="10"/>
  <c r="B34" i="10"/>
  <c r="A34" i="10"/>
  <c r="B33" i="10" l="1"/>
  <c r="A33" i="10"/>
  <c r="B32" i="10" l="1"/>
  <c r="A32" i="10"/>
  <c r="B31" i="10"/>
  <c r="A31" i="10"/>
  <c r="B30" i="10"/>
  <c r="A30" i="10"/>
  <c r="B28" i="10"/>
  <c r="A28" i="10"/>
  <c r="B27" i="10"/>
  <c r="A27" i="10"/>
  <c r="B26" i="10"/>
  <c r="A26" i="10"/>
  <c r="B25" i="10"/>
  <c r="A25" i="10"/>
  <c r="A24" i="10"/>
  <c r="B23" i="10" l="1"/>
  <c r="A23" i="10"/>
  <c r="B22" i="10" l="1"/>
  <c r="A22" i="10"/>
  <c r="B21" i="10"/>
  <c r="A21" i="10"/>
  <c r="B19" i="10"/>
  <c r="A19" i="10"/>
  <c r="B17" i="10" l="1"/>
  <c r="A17" i="10"/>
  <c r="B16" i="10" l="1"/>
  <c r="A16" i="10"/>
  <c r="B15" i="10"/>
  <c r="A15" i="10"/>
  <c r="B14" i="10"/>
  <c r="A14" i="10"/>
  <c r="B13" i="10"/>
  <c r="A13" i="10"/>
  <c r="B12" i="10"/>
  <c r="A12" i="10"/>
  <c r="G6" i="10" l="1"/>
  <c r="F6" i="10"/>
  <c r="E6" i="10"/>
  <c r="D6" i="10"/>
  <c r="C6" i="10"/>
  <c r="B6" i="10"/>
  <c r="A6" i="10"/>
  <c r="F3" i="10" s="1"/>
  <c r="F2" i="10"/>
  <c r="E2" i="10"/>
  <c r="B2" i="10"/>
  <c r="B1" i="10"/>
  <c r="I97" i="1"/>
  <c r="I107" i="1"/>
  <c r="I118" i="1"/>
  <c r="I157" i="1"/>
  <c r="I188" i="1"/>
  <c r="I172" i="1" s="1"/>
  <c r="D23" i="10" s="1"/>
  <c r="I348" i="1"/>
  <c r="K373" i="1"/>
  <c r="K374" i="1"/>
  <c r="K375" i="1"/>
  <c r="K376" i="1"/>
  <c r="I378" i="1"/>
  <c r="I380" i="1"/>
  <c r="I381" i="1"/>
  <c r="K382" i="1"/>
  <c r="I397" i="1"/>
  <c r="K414" i="1"/>
  <c r="I419" i="1"/>
  <c r="H89" i="1"/>
  <c r="H98" i="1"/>
  <c r="H188" i="1"/>
  <c r="H397" i="1"/>
  <c r="I416" i="1" l="1"/>
  <c r="D40" i="10" s="1"/>
  <c r="K327" i="1"/>
  <c r="I117" i="1"/>
  <c r="D19" i="10" s="1"/>
  <c r="J117" i="1"/>
  <c r="E19" i="10" s="1"/>
  <c r="H379" i="1"/>
  <c r="H414" i="1"/>
  <c r="H358" i="1"/>
  <c r="H118" i="1"/>
  <c r="H117" i="1" s="1"/>
  <c r="H433" i="1"/>
  <c r="C43" i="10" s="1"/>
  <c r="H381" i="1"/>
  <c r="K98" i="1"/>
  <c r="K89" i="1"/>
  <c r="H419" i="1"/>
  <c r="H380" i="1"/>
  <c r="H378" i="1"/>
  <c r="H348" i="1"/>
  <c r="H177" i="1"/>
  <c r="H157" i="1"/>
  <c r="H107" i="1"/>
  <c r="H97" i="1"/>
  <c r="K379" i="1"/>
  <c r="K378" i="1"/>
  <c r="J433" i="1"/>
  <c r="E43" i="10" s="1"/>
  <c r="J372" i="1"/>
  <c r="E36" i="10" s="1"/>
  <c r="K358" i="1"/>
  <c r="K381" i="1"/>
  <c r="I372" i="1"/>
  <c r="D36" i="10" s="1"/>
  <c r="K188" i="1"/>
  <c r="K397" i="1"/>
  <c r="K419" i="1"/>
  <c r="K380" i="1"/>
  <c r="K348" i="1"/>
  <c r="K177" i="1"/>
  <c r="K107" i="1"/>
  <c r="K97" i="1"/>
  <c r="K157" i="1"/>
  <c r="K118" i="1"/>
  <c r="J85" i="1"/>
  <c r="E17" i="10" s="1"/>
  <c r="C19" i="10" l="1"/>
  <c r="H416" i="1"/>
  <c r="C40" i="10" s="1"/>
  <c r="H413" i="1"/>
  <c r="C39" i="10" s="1"/>
  <c r="K372" i="1"/>
  <c r="F36" i="10" s="1"/>
  <c r="D78" i="2" s="1"/>
  <c r="H172" i="1"/>
  <c r="C23" i="10" s="1"/>
  <c r="H372" i="1"/>
  <c r="C36" i="10" s="1"/>
  <c r="K433" i="1"/>
  <c r="F43" i="10" s="1"/>
  <c r="D92" i="2" s="1"/>
  <c r="I112" i="1"/>
  <c r="I85" i="1" s="1"/>
  <c r="D17" i="10" s="1"/>
  <c r="H112" i="1"/>
  <c r="H85" i="1" s="1"/>
  <c r="C17" i="10" s="1"/>
  <c r="K117" i="1"/>
  <c r="F19" i="10" s="1"/>
  <c r="D40" i="2" s="1"/>
  <c r="J92" i="2" l="1"/>
  <c r="K92" i="2"/>
  <c r="J40" i="2"/>
  <c r="K40" i="2"/>
  <c r="J78" i="2"/>
  <c r="K78" i="2"/>
  <c r="H78" i="2"/>
  <c r="I78" i="2"/>
  <c r="G78" i="2"/>
  <c r="H92" i="2"/>
  <c r="I92" i="2"/>
  <c r="G92" i="2"/>
  <c r="H40" i="2"/>
  <c r="I40" i="2"/>
  <c r="G40" i="2"/>
  <c r="K112" i="1"/>
  <c r="K85" i="1" s="1"/>
  <c r="F17" i="10" s="1"/>
  <c r="D34" i="2" s="1"/>
  <c r="L92" i="2" l="1"/>
  <c r="L78" i="2"/>
  <c r="L40" i="2"/>
  <c r="J34" i="2"/>
  <c r="K34" i="2"/>
  <c r="H34" i="2"/>
  <c r="G34" i="2"/>
  <c r="I34" i="2"/>
  <c r="H86" i="8"/>
  <c r="I86" i="8"/>
  <c r="L34" i="2" l="1"/>
  <c r="F73" i="1"/>
  <c r="I73" i="1" s="1"/>
  <c r="I72" i="1" s="1"/>
  <c r="I332" i="1"/>
  <c r="I163" i="1"/>
  <c r="I331" i="1"/>
  <c r="I133" i="1"/>
  <c r="I165" i="1"/>
  <c r="H166" i="1"/>
  <c r="I166" i="1"/>
  <c r="J86" i="8"/>
  <c r="I168" i="1"/>
  <c r="K329" i="1"/>
  <c r="G73" i="1"/>
  <c r="J73" i="1" s="1"/>
  <c r="H359" i="1"/>
  <c r="I334" i="1"/>
  <c r="I349" i="1"/>
  <c r="H349" i="1"/>
  <c r="K359" i="1"/>
  <c r="J72" i="1" l="1"/>
  <c r="E15" i="10" s="1"/>
  <c r="J155" i="1"/>
  <c r="E22" i="10" s="1"/>
  <c r="D15" i="10"/>
  <c r="H168" i="1"/>
  <c r="K163" i="1"/>
  <c r="K166" i="1"/>
  <c r="H165" i="1"/>
  <c r="J123" i="1"/>
  <c r="E21" i="10" s="1"/>
  <c r="H163" i="1"/>
  <c r="H162" i="1"/>
  <c r="I162" i="1"/>
  <c r="K162" i="1" s="1"/>
  <c r="K133" i="1"/>
  <c r="H133" i="1"/>
  <c r="K165" i="1"/>
  <c r="H311" i="1"/>
  <c r="H312" i="1"/>
  <c r="K312" i="1"/>
  <c r="I167" i="1"/>
  <c r="K167" i="1" s="1"/>
  <c r="H167" i="1"/>
  <c r="H164" i="1"/>
  <c r="I164" i="1"/>
  <c r="K164" i="1" s="1"/>
  <c r="K168" i="1"/>
  <c r="H332" i="1"/>
  <c r="H331" i="1"/>
  <c r="I325" i="1"/>
  <c r="D31" i="10" s="1"/>
  <c r="K332" i="1"/>
  <c r="K334" i="1"/>
  <c r="H73" i="1"/>
  <c r="H357" i="1"/>
  <c r="C34" i="10" s="1"/>
  <c r="K349" i="1"/>
  <c r="K331" i="1"/>
  <c r="H334" i="1"/>
  <c r="I350" i="1"/>
  <c r="H350" i="1"/>
  <c r="K73" i="1" l="1"/>
  <c r="K72" i="1" s="1"/>
  <c r="F15" i="10" s="1"/>
  <c r="D30" i="2" s="1"/>
  <c r="H305" i="1"/>
  <c r="I305" i="1"/>
  <c r="K155" i="1"/>
  <c r="F22" i="10" s="1"/>
  <c r="D46" i="2" s="1"/>
  <c r="H155" i="1"/>
  <c r="C22" i="10" s="1"/>
  <c r="I155" i="1"/>
  <c r="D22" i="10" s="1"/>
  <c r="H325" i="1"/>
  <c r="C31" i="10" s="1"/>
  <c r="E30" i="10"/>
  <c r="J212" i="1"/>
  <c r="H72" i="1"/>
  <c r="J116" i="1"/>
  <c r="H123" i="1"/>
  <c r="K311" i="1"/>
  <c r="K305" i="1" s="1"/>
  <c r="K123" i="1"/>
  <c r="F21" i="10" s="1"/>
  <c r="D44" i="2" s="1"/>
  <c r="I123" i="1"/>
  <c r="D21" i="10" s="1"/>
  <c r="J10" i="1"/>
  <c r="E7" i="10" s="1"/>
  <c r="H10" i="1"/>
  <c r="C7" i="10" s="1"/>
  <c r="K350" i="1"/>
  <c r="K44" i="2" l="1"/>
  <c r="J44" i="2"/>
  <c r="J46" i="2"/>
  <c r="K46" i="2"/>
  <c r="J30" i="2"/>
  <c r="K30" i="2"/>
  <c r="I46" i="2"/>
  <c r="H46" i="2"/>
  <c r="G46" i="2"/>
  <c r="H44" i="2"/>
  <c r="G44" i="2"/>
  <c r="I44" i="2"/>
  <c r="H30" i="2"/>
  <c r="I30" i="2"/>
  <c r="G30" i="2"/>
  <c r="C30" i="10"/>
  <c r="D30" i="10"/>
  <c r="C21" i="10"/>
  <c r="H116" i="1"/>
  <c r="C15" i="10"/>
  <c r="I116" i="1"/>
  <c r="K116" i="1"/>
  <c r="F7" i="10"/>
  <c r="D12" i="2" s="1"/>
  <c r="L30" i="2" l="1"/>
  <c r="L46" i="2"/>
  <c r="J12" i="2"/>
  <c r="K12" i="2"/>
  <c r="L44" i="2"/>
  <c r="I12" i="2"/>
  <c r="G12" i="2"/>
  <c r="H12" i="2"/>
  <c r="F30" i="10"/>
  <c r="D64" i="2" s="1"/>
  <c r="K212" i="1"/>
  <c r="K64" i="2" l="1"/>
  <c r="J64" i="2"/>
  <c r="L12" i="2"/>
  <c r="H64" i="2"/>
  <c r="G64" i="2"/>
  <c r="I64" i="2"/>
  <c r="K28" i="1"/>
  <c r="K65" i="1"/>
  <c r="D13" i="10"/>
  <c r="K70" i="1"/>
  <c r="K363" i="1"/>
  <c r="K364" i="1"/>
  <c r="K365" i="1"/>
  <c r="K366" i="1"/>
  <c r="K370" i="1"/>
  <c r="K371" i="1"/>
  <c r="K385" i="1"/>
  <c r="K415" i="1"/>
  <c r="K417" i="1"/>
  <c r="K418" i="1"/>
  <c r="K421" i="1"/>
  <c r="J357" i="1"/>
  <c r="E34" i="10" s="1"/>
  <c r="H65" i="1"/>
  <c r="L64" i="2" l="1"/>
  <c r="K383" i="1"/>
  <c r="F37" i="10" s="1"/>
  <c r="D80" i="2" s="1"/>
  <c r="J383" i="1"/>
  <c r="E37" i="10" s="1"/>
  <c r="K45" i="1"/>
  <c r="K44" i="1" s="1"/>
  <c r="J44" i="1"/>
  <c r="E9" i="10" s="1"/>
  <c r="K64" i="1"/>
  <c r="E13" i="10"/>
  <c r="I43" i="1"/>
  <c r="I20" i="1" s="1"/>
  <c r="D9" i="10"/>
  <c r="K326" i="1"/>
  <c r="K325" i="1" s="1"/>
  <c r="F31" i="10" s="1"/>
  <c r="D66" i="2" s="1"/>
  <c r="J325" i="1"/>
  <c r="E31" i="10" s="1"/>
  <c r="K172" i="1"/>
  <c r="F23" i="10" s="1"/>
  <c r="D48" i="2" s="1"/>
  <c r="J172" i="1"/>
  <c r="E23" i="10" s="1"/>
  <c r="J413" i="1"/>
  <c r="E39" i="10" s="1"/>
  <c r="J21" i="1"/>
  <c r="E8" i="10" s="1"/>
  <c r="K413" i="1"/>
  <c r="J69" i="1"/>
  <c r="E14" i="10" s="1"/>
  <c r="J416" i="1"/>
  <c r="E40" i="10" s="1"/>
  <c r="J362" i="1"/>
  <c r="E35" i="10" s="1"/>
  <c r="K357" i="1"/>
  <c r="F34" i="10" s="1"/>
  <c r="D74" i="2" s="1"/>
  <c r="K416" i="1"/>
  <c r="F40" i="10" s="1"/>
  <c r="D86" i="2" s="1"/>
  <c r="K362" i="1"/>
  <c r="F35" i="10" s="1"/>
  <c r="D76" i="2" s="1"/>
  <c r="K21" i="1"/>
  <c r="F8" i="10" s="1"/>
  <c r="D16" i="2" s="1"/>
  <c r="K69" i="1"/>
  <c r="F14" i="10" s="1"/>
  <c r="D28" i="2" s="1"/>
  <c r="H66" i="1"/>
  <c r="H62" i="1" s="1"/>
  <c r="K66" i="1"/>
  <c r="K62" i="1" l="1"/>
  <c r="F13" i="10"/>
  <c r="D26" i="2" s="1"/>
  <c r="H20" i="1"/>
  <c r="J66" i="2"/>
  <c r="K66" i="2"/>
  <c r="K74" i="2"/>
  <c r="J74" i="2"/>
  <c r="I48" i="2"/>
  <c r="J48" i="2"/>
  <c r="K48" i="2"/>
  <c r="J16" i="2"/>
  <c r="K16" i="2"/>
  <c r="J80" i="2"/>
  <c r="K80" i="2"/>
  <c r="J28" i="2"/>
  <c r="K28" i="2"/>
  <c r="J76" i="2"/>
  <c r="K76" i="2"/>
  <c r="J86" i="2"/>
  <c r="K86" i="2"/>
  <c r="I66" i="2"/>
  <c r="H66" i="2"/>
  <c r="G66" i="2"/>
  <c r="I28" i="2"/>
  <c r="G28" i="2"/>
  <c r="H28" i="2"/>
  <c r="H76" i="2"/>
  <c r="I76" i="2"/>
  <c r="G76" i="2"/>
  <c r="H86" i="2"/>
  <c r="I86" i="2"/>
  <c r="G86" i="2"/>
  <c r="I80" i="2"/>
  <c r="H80" i="2"/>
  <c r="G80" i="2"/>
  <c r="H74" i="2"/>
  <c r="I74" i="2"/>
  <c r="G74" i="2"/>
  <c r="H48" i="2"/>
  <c r="G48" i="2"/>
  <c r="G16" i="2"/>
  <c r="I16" i="2"/>
  <c r="H16" i="2"/>
  <c r="F39" i="10"/>
  <c r="D84" i="2" s="1"/>
  <c r="K43" i="1"/>
  <c r="F9" i="10"/>
  <c r="D18" i="2" s="1"/>
  <c r="J43" i="1"/>
  <c r="J20" i="1" s="1"/>
  <c r="L74" i="2" l="1"/>
  <c r="L16" i="2"/>
  <c r="J18" i="2"/>
  <c r="K18" i="2"/>
  <c r="L28" i="2"/>
  <c r="J84" i="2"/>
  <c r="K84" i="2"/>
  <c r="J26" i="2"/>
  <c r="K26" i="2"/>
  <c r="L48" i="2"/>
  <c r="L66" i="2"/>
  <c r="L86" i="2"/>
  <c r="L80" i="2"/>
  <c r="L76" i="2"/>
  <c r="H18" i="2"/>
  <c r="I18" i="2"/>
  <c r="G18" i="2"/>
  <c r="H84" i="2"/>
  <c r="I84" i="2"/>
  <c r="G84" i="2"/>
  <c r="I26" i="2"/>
  <c r="H26" i="2"/>
  <c r="G26" i="2"/>
  <c r="K20" i="1"/>
  <c r="L26" i="2" l="1"/>
  <c r="L84" i="2"/>
  <c r="L18" i="2"/>
  <c r="H347" i="1"/>
  <c r="C32" i="10" l="1"/>
  <c r="I347" i="1"/>
  <c r="J347" i="1"/>
  <c r="E32" i="10" l="1"/>
  <c r="D32" i="10"/>
  <c r="K347" i="1"/>
  <c r="F32" i="10" l="1"/>
  <c r="D70" i="2" s="1"/>
  <c r="H70" i="2" s="1"/>
  <c r="I388" i="1"/>
  <c r="I346" i="1" s="1"/>
  <c r="G70" i="2" l="1"/>
  <c r="I70" i="2"/>
  <c r="J70" i="2"/>
  <c r="K70" i="2"/>
  <c r="D38" i="10"/>
  <c r="J388" i="1"/>
  <c r="J346" i="1" s="1"/>
  <c r="H388" i="1"/>
  <c r="K388" i="1"/>
  <c r="L70" i="2" l="1"/>
  <c r="F38" i="10"/>
  <c r="D82" i="2" s="1"/>
  <c r="G82" i="2" s="1"/>
  <c r="K346" i="1"/>
  <c r="C38" i="10"/>
  <c r="H346" i="1"/>
  <c r="D94" i="2"/>
  <c r="E38" i="10"/>
  <c r="H82" i="2" l="1"/>
  <c r="H95" i="2" s="1"/>
  <c r="H96" i="2" s="1"/>
  <c r="J82" i="2"/>
  <c r="J95" i="2" s="1"/>
  <c r="J96" i="2" s="1"/>
  <c r="K82" i="2"/>
  <c r="K95" i="2" s="1"/>
  <c r="K96" i="2" s="1"/>
  <c r="G95" i="2"/>
  <c r="I82" i="2"/>
  <c r="E16" i="2"/>
  <c r="E18" i="2"/>
  <c r="E86" i="2"/>
  <c r="E46" i="2"/>
  <c r="E42" i="2"/>
  <c r="E32" i="2"/>
  <c r="E30" i="2"/>
  <c r="E52" i="2"/>
  <c r="E26" i="2"/>
  <c r="E60" i="2"/>
  <c r="E44" i="2"/>
  <c r="E34" i="2"/>
  <c r="E56" i="2"/>
  <c r="E20" i="2"/>
  <c r="E66" i="2"/>
  <c r="E80" i="2"/>
  <c r="E78" i="2"/>
  <c r="E36" i="2"/>
  <c r="E74" i="2"/>
  <c r="E58" i="2"/>
  <c r="E90" i="2"/>
  <c r="E92" i="2"/>
  <c r="E64" i="2"/>
  <c r="E48" i="2"/>
  <c r="E22" i="2"/>
  <c r="E76" i="2"/>
  <c r="E62" i="2"/>
  <c r="E84" i="2"/>
  <c r="E40" i="2"/>
  <c r="E88" i="2"/>
  <c r="E54" i="2"/>
  <c r="E72" i="2"/>
  <c r="E24" i="2"/>
  <c r="E28" i="2"/>
  <c r="E12" i="2"/>
  <c r="E70" i="2"/>
  <c r="E82" i="2"/>
  <c r="J436" i="1"/>
  <c r="E44" i="10" s="1"/>
  <c r="K436" i="1"/>
  <c r="E50" i="2" l="1"/>
  <c r="E14" i="2"/>
  <c r="E38" i="2"/>
  <c r="E68" i="2"/>
  <c r="L68" i="1"/>
  <c r="L377" i="1"/>
  <c r="L67" i="1"/>
  <c r="L62" i="1"/>
  <c r="G13" i="10" s="1"/>
  <c r="L318" i="1"/>
  <c r="L322" i="1"/>
  <c r="L54" i="1"/>
  <c r="L240" i="1"/>
  <c r="L82" i="2"/>
  <c r="L95" i="2" s="1"/>
  <c r="L96" i="2" s="1"/>
  <c r="I95" i="2"/>
  <c r="I96" i="2" s="1"/>
  <c r="L15" i="1"/>
  <c r="L420" i="1"/>
  <c r="L11" i="1"/>
  <c r="L405" i="1"/>
  <c r="L406" i="1"/>
  <c r="L402" i="1"/>
  <c r="L403" i="1"/>
  <c r="L400" i="1"/>
  <c r="L401" i="1"/>
  <c r="L411" i="1"/>
  <c r="L412" i="1"/>
  <c r="L407" i="1"/>
  <c r="L410" i="1"/>
  <c r="L344" i="1"/>
  <c r="L408" i="1"/>
  <c r="L409" i="1"/>
  <c r="L392" i="1"/>
  <c r="L29" i="1"/>
  <c r="L390" i="1"/>
  <c r="L391" i="1"/>
  <c r="L369" i="1"/>
  <c r="L387" i="1"/>
  <c r="L355" i="1"/>
  <c r="L368" i="1"/>
  <c r="L321" i="1"/>
  <c r="L323" i="1"/>
  <c r="L324" i="1"/>
  <c r="L301" i="1"/>
  <c r="L302" i="1"/>
  <c r="L169" i="1"/>
  <c r="L432" i="1"/>
  <c r="L430" i="1"/>
  <c r="L431" i="1"/>
  <c r="L171" i="1"/>
  <c r="L170" i="1"/>
  <c r="L104" i="1"/>
  <c r="L18" i="1"/>
  <c r="L84" i="1"/>
  <c r="L96" i="1"/>
  <c r="L330" i="1"/>
  <c r="L14" i="1"/>
  <c r="G97" i="2"/>
  <c r="G96" i="2"/>
  <c r="L36" i="1"/>
  <c r="L35" i="1"/>
  <c r="L33" i="1"/>
  <c r="L114" i="1"/>
  <c r="G18" i="10" s="1"/>
  <c r="L37" i="1"/>
  <c r="L34" i="1"/>
  <c r="L212" i="1"/>
  <c r="L83" i="1"/>
  <c r="F44" i="10"/>
  <c r="L333" i="1"/>
  <c r="L181" i="1"/>
  <c r="L101" i="1"/>
  <c r="L180" i="1"/>
  <c r="L110" i="1"/>
  <c r="L111" i="1"/>
  <c r="L77" i="1"/>
  <c r="L72" i="1"/>
  <c r="G15" i="10" s="1"/>
  <c r="L58" i="1"/>
  <c r="L233" i="1"/>
  <c r="L100" i="1"/>
  <c r="L99" i="1"/>
  <c r="L94" i="1"/>
  <c r="L116" i="1"/>
  <c r="L115" i="1"/>
  <c r="L59" i="1"/>
  <c r="L63" i="1"/>
  <c r="L31" i="1"/>
  <c r="L52" i="1"/>
  <c r="L53" i="1"/>
  <c r="L42" i="1"/>
  <c r="L41" i="1"/>
  <c r="L429" i="1"/>
  <c r="L428" i="1"/>
  <c r="G42" i="10" s="1"/>
  <c r="L360" i="1"/>
  <c r="L427" i="1"/>
  <c r="L426" i="1"/>
  <c r="G41" i="10" s="1"/>
  <c r="L343" i="1"/>
  <c r="L361" i="1"/>
  <c r="L303" i="1"/>
  <c r="L304" i="1"/>
  <c r="L300" i="1"/>
  <c r="G29" i="10" s="1"/>
  <c r="L243" i="1"/>
  <c r="L245" i="1"/>
  <c r="L291" i="1"/>
  <c r="L244" i="1"/>
  <c r="L246" i="1"/>
  <c r="L290" i="1"/>
  <c r="L295" i="1"/>
  <c r="L286" i="1"/>
  <c r="L282" i="1"/>
  <c r="L276" i="1"/>
  <c r="L272" i="1"/>
  <c r="L270" i="1"/>
  <c r="L266" i="1"/>
  <c r="L260" i="1"/>
  <c r="L256" i="1"/>
  <c r="L252" i="1"/>
  <c r="L248" i="1"/>
  <c r="L296" i="1"/>
  <c r="L292" i="1"/>
  <c r="L287" i="1"/>
  <c r="L283" i="1"/>
  <c r="L277" i="1"/>
  <c r="L273" i="1"/>
  <c r="L271" i="1"/>
  <c r="L267" i="1"/>
  <c r="L261" i="1"/>
  <c r="L257" i="1"/>
  <c r="L253" i="1"/>
  <c r="L249" i="1"/>
  <c r="L242" i="1"/>
  <c r="L293" i="1"/>
  <c r="L288" i="1"/>
  <c r="L284" i="1"/>
  <c r="L280" i="1"/>
  <c r="L278" i="1"/>
  <c r="L274" i="1"/>
  <c r="L268" i="1"/>
  <c r="L264" i="1"/>
  <c r="L262" i="1"/>
  <c r="L258" i="1"/>
  <c r="L254" i="1"/>
  <c r="L250" i="1"/>
  <c r="L294" i="1"/>
  <c r="L289" i="1"/>
  <c r="L285" i="1"/>
  <c r="L281" i="1"/>
  <c r="L279" i="1"/>
  <c r="L275" i="1"/>
  <c r="L269" i="1"/>
  <c r="L265" i="1"/>
  <c r="L263" i="1"/>
  <c r="L259" i="1"/>
  <c r="L255" i="1"/>
  <c r="L251" i="1"/>
  <c r="L247" i="1"/>
  <c r="L236" i="1"/>
  <c r="L232" i="1"/>
  <c r="L230" i="1"/>
  <c r="L231" i="1"/>
  <c r="L189" i="1"/>
  <c r="L203" i="1"/>
  <c r="L202" i="1"/>
  <c r="L208" i="1"/>
  <c r="L204" i="1"/>
  <c r="L211" i="1"/>
  <c r="L206" i="1"/>
  <c r="L201" i="1"/>
  <c r="L210" i="1"/>
  <c r="L207" i="1"/>
  <c r="L200" i="1"/>
  <c r="L209" i="1"/>
  <c r="L205" i="1"/>
  <c r="L179" i="1"/>
  <c r="L183" i="1"/>
  <c r="L167" i="1"/>
  <c r="L176" i="1"/>
  <c r="L133" i="1"/>
  <c r="L135" i="1"/>
  <c r="L137" i="1"/>
  <c r="L139" i="1"/>
  <c r="L141" i="1"/>
  <c r="L143" i="1"/>
  <c r="L145" i="1"/>
  <c r="L148" i="1"/>
  <c r="L150" i="1"/>
  <c r="L152" i="1"/>
  <c r="L154" i="1"/>
  <c r="L134" i="1"/>
  <c r="L136" i="1"/>
  <c r="L138" i="1"/>
  <c r="L140" i="1"/>
  <c r="L142" i="1"/>
  <c r="L144" i="1"/>
  <c r="L146" i="1"/>
  <c r="L147" i="1"/>
  <c r="L149" i="1"/>
  <c r="L151" i="1"/>
  <c r="L153" i="1"/>
  <c r="L122" i="1"/>
  <c r="L121" i="1"/>
  <c r="G20" i="10" s="1"/>
  <c r="L49" i="1"/>
  <c r="L131" i="1"/>
  <c r="L106" i="1"/>
  <c r="L61" i="1"/>
  <c r="L88" i="1"/>
  <c r="L155" i="1"/>
  <c r="G22" i="10" s="1"/>
  <c r="L184" i="1"/>
  <c r="L178" i="1"/>
  <c r="L23" i="1"/>
  <c r="L25" i="1"/>
  <c r="L43" i="1"/>
  <c r="L312" i="1"/>
  <c r="L227" i="1"/>
  <c r="L218" i="1"/>
  <c r="L349" i="1"/>
  <c r="L370" i="1"/>
  <c r="L376" i="1"/>
  <c r="L434" i="1"/>
  <c r="L102" i="1"/>
  <c r="L157" i="1"/>
  <c r="L158" i="1"/>
  <c r="L199" i="1"/>
  <c r="L299" i="1"/>
  <c r="L329" i="1"/>
  <c r="L308" i="1"/>
  <c r="L342" i="1"/>
  <c r="L366" i="1"/>
  <c r="L423" i="1"/>
  <c r="L416" i="1"/>
  <c r="G40" i="10" s="1"/>
  <c r="L51" i="1"/>
  <c r="L48" i="1"/>
  <c r="L112" i="1"/>
  <c r="L70" i="1"/>
  <c r="L91" i="1"/>
  <c r="L109" i="1"/>
  <c r="L185" i="1"/>
  <c r="L182" i="1"/>
  <c r="L39" i="1"/>
  <c r="L24" i="1"/>
  <c r="L309" i="1"/>
  <c r="L316" i="1"/>
  <c r="L224" i="1"/>
  <c r="G25" i="10" s="1"/>
  <c r="L216" i="1"/>
  <c r="L356" i="1"/>
  <c r="L379" i="1"/>
  <c r="L372" i="1"/>
  <c r="G36" i="10" s="1"/>
  <c r="L93" i="1"/>
  <c r="L164" i="1"/>
  <c r="L192" i="1"/>
  <c r="L340" i="1"/>
  <c r="L241" i="1"/>
  <c r="G27" i="10" s="1"/>
  <c r="L433" i="1"/>
  <c r="G43" i="10" s="1"/>
  <c r="L298" i="1"/>
  <c r="L338" i="1"/>
  <c r="L425" i="1"/>
  <c r="L341" i="1"/>
  <c r="L362" i="1"/>
  <c r="G35" i="10" s="1"/>
  <c r="L398" i="1"/>
  <c r="L396" i="1"/>
  <c r="L20" i="1"/>
  <c r="L415" i="1"/>
  <c r="L113" i="1"/>
  <c r="L347" i="1"/>
  <c r="G32" i="10" s="1"/>
  <c r="L388" i="1"/>
  <c r="G38" i="10" s="1"/>
  <c r="L16" i="1"/>
  <c r="L81" i="1"/>
  <c r="L103" i="1"/>
  <c r="L64" i="1"/>
  <c r="L60" i="1"/>
  <c r="G12" i="10" s="1"/>
  <c r="L86" i="1"/>
  <c r="L124" i="1"/>
  <c r="L188" i="1"/>
  <c r="L187" i="1"/>
  <c r="L12" i="1"/>
  <c r="L22" i="1"/>
  <c r="L27" i="1"/>
  <c r="L315" i="1"/>
  <c r="L306" i="1"/>
  <c r="L351" i="1"/>
  <c r="G33" i="10" s="1"/>
  <c r="L364" i="1"/>
  <c r="L382" i="1"/>
  <c r="L130" i="1"/>
  <c r="L125" i="1"/>
  <c r="L163" i="1"/>
  <c r="L195" i="1"/>
  <c r="L326" i="1"/>
  <c r="L225" i="1"/>
  <c r="L325" i="1"/>
  <c r="G31" i="10" s="1"/>
  <c r="L229" i="1"/>
  <c r="L219" i="1"/>
  <c r="L337" i="1"/>
  <c r="L358" i="1"/>
  <c r="L57" i="1"/>
  <c r="L399" i="1"/>
  <c r="L393" i="1"/>
  <c r="L436" i="1"/>
  <c r="L10" i="1"/>
  <c r="G7" i="10" s="1"/>
  <c r="L50" i="1"/>
  <c r="G11" i="10" s="1"/>
  <c r="L108" i="1"/>
  <c r="L69" i="1"/>
  <c r="G14" i="10" s="1"/>
  <c r="L74" i="1"/>
  <c r="L89" i="1"/>
  <c r="L82" i="1"/>
  <c r="L119" i="1"/>
  <c r="L175" i="1"/>
  <c r="L173" i="1"/>
  <c r="L38" i="1"/>
  <c r="L21" i="1"/>
  <c r="L44" i="1"/>
  <c r="G9" i="10" s="1"/>
  <c r="L235" i="1"/>
  <c r="L297" i="1"/>
  <c r="G28" i="10" s="1"/>
  <c r="L348" i="1"/>
  <c r="L357" i="1"/>
  <c r="G34" i="10" s="1"/>
  <c r="L378" i="1"/>
  <c r="L386" i="1"/>
  <c r="L126" i="1"/>
  <c r="L120" i="1"/>
  <c r="L159" i="1"/>
  <c r="L196" i="1"/>
  <c r="L317" i="1"/>
  <c r="L345" i="1"/>
  <c r="L226" i="1"/>
  <c r="L217" i="1"/>
  <c r="L359" i="1"/>
  <c r="L414" i="1"/>
  <c r="L350" i="1"/>
  <c r="L389" i="1"/>
  <c r="L422" i="1"/>
  <c r="L418" i="1"/>
  <c r="L419" i="1"/>
  <c r="L55" i="1"/>
  <c r="L335" i="1"/>
  <c r="L198" i="1"/>
  <c r="L161" i="1"/>
  <c r="L384" i="1"/>
  <c r="L375" i="1"/>
  <c r="L220" i="1"/>
  <c r="L327" i="1"/>
  <c r="L190" i="1"/>
  <c r="L90" i="1"/>
  <c r="L80" i="1"/>
  <c r="L78" i="1"/>
  <c r="G16" i="10" s="1"/>
  <c r="L421" i="1"/>
  <c r="L394" i="1"/>
  <c r="L215" i="1"/>
  <c r="L314" i="1"/>
  <c r="L313" i="1"/>
  <c r="L166" i="1"/>
  <c r="L118" i="1"/>
  <c r="L373" i="1"/>
  <c r="L352" i="1"/>
  <c r="L239" i="1"/>
  <c r="L19" i="1"/>
  <c r="L28" i="1"/>
  <c r="L177" i="1"/>
  <c r="L87" i="1"/>
  <c r="L75" i="1"/>
  <c r="L76" i="1"/>
  <c r="L221" i="1"/>
  <c r="L331" i="1"/>
  <c r="L168" i="1"/>
  <c r="L156" i="1"/>
  <c r="L371" i="1"/>
  <c r="L310" i="1"/>
  <c r="L172" i="1"/>
  <c r="G23" i="10" s="1"/>
  <c r="L79" i="1"/>
  <c r="L127" i="1"/>
  <c r="L395" i="1"/>
  <c r="L413" i="1"/>
  <c r="G39" i="10" s="1"/>
  <c r="L334" i="1"/>
  <c r="L238" i="1"/>
  <c r="L193" i="1"/>
  <c r="L367" i="1"/>
  <c r="L363" i="1"/>
  <c r="L328" i="1"/>
  <c r="L30" i="1"/>
  <c r="L191" i="1"/>
  <c r="L132" i="1"/>
  <c r="L123" i="1"/>
  <c r="G21" i="10" s="1"/>
  <c r="L17" i="1"/>
  <c r="L71" i="1"/>
  <c r="L213" i="1"/>
  <c r="G24" i="10" s="1"/>
  <c r="L311" i="1"/>
  <c r="L307" i="1"/>
  <c r="L162" i="1"/>
  <c r="L107" i="1"/>
  <c r="L381" i="1"/>
  <c r="L353" i="1"/>
  <c r="L234" i="1"/>
  <c r="G26" i="10" s="1"/>
  <c r="L319" i="1"/>
  <c r="L26" i="1"/>
  <c r="L128" i="1"/>
  <c r="L66" i="1"/>
  <c r="L95" i="1"/>
  <c r="L56" i="1"/>
  <c r="L424" i="1"/>
  <c r="L354" i="1"/>
  <c r="L339" i="1"/>
  <c r="L197" i="1"/>
  <c r="L165" i="1"/>
  <c r="L385" i="1"/>
  <c r="L380" i="1"/>
  <c r="L222" i="1"/>
  <c r="L305" i="1"/>
  <c r="G30" i="10" s="1"/>
  <c r="L32" i="1"/>
  <c r="L174" i="1"/>
  <c r="L105" i="1"/>
  <c r="L73" i="1"/>
  <c r="L117" i="1"/>
  <c r="G19" i="10" s="1"/>
  <c r="L47" i="1"/>
  <c r="L332" i="1"/>
  <c r="L237" i="1"/>
  <c r="L228" i="1"/>
  <c r="L194" i="1"/>
  <c r="L129" i="1"/>
  <c r="L383" i="1"/>
  <c r="G37" i="10" s="1"/>
  <c r="L186" i="1"/>
  <c r="L97" i="1"/>
  <c r="L65" i="1"/>
  <c r="L98" i="1"/>
  <c r="L45" i="1"/>
  <c r="L404" i="1"/>
  <c r="L417" i="1"/>
  <c r="L365" i="1"/>
  <c r="L223" i="1"/>
  <c r="L435" i="1"/>
  <c r="L336" i="1"/>
  <c r="L160" i="1"/>
  <c r="L397" i="1"/>
  <c r="L374" i="1"/>
  <c r="L214" i="1"/>
  <c r="L320" i="1"/>
  <c r="L40" i="1"/>
  <c r="L13" i="1"/>
  <c r="L85" i="1"/>
  <c r="G17" i="10" s="1"/>
  <c r="L92" i="1"/>
  <c r="L46" i="1"/>
  <c r="G10" i="10" s="1"/>
  <c r="L346" i="1"/>
  <c r="G98" i="2" l="1"/>
  <c r="H97" i="2"/>
  <c r="G8" i="10"/>
  <c r="G44" i="10" s="1"/>
  <c r="H98" i="2" l="1"/>
  <c r="I97" i="2"/>
  <c r="C13" i="10"/>
  <c r="C29" i="10"/>
  <c r="H212" i="1"/>
  <c r="H436" i="1" s="1"/>
  <c r="C44" i="10" s="1"/>
  <c r="D29" i="10"/>
  <c r="I212" i="1"/>
  <c r="I436" i="1" s="1"/>
  <c r="D44" i="10" s="1"/>
  <c r="I98" i="2" l="1"/>
  <c r="J97" i="2"/>
  <c r="K97" i="2" l="1"/>
  <c r="K98" i="2" s="1"/>
  <c r="J98" i="2"/>
</calcChain>
</file>

<file path=xl/comments1.xml><?xml version="1.0" encoding="utf-8"?>
<comments xmlns="http://schemas.openxmlformats.org/spreadsheetml/2006/main">
  <authors>
    <author>Admin</author>
  </authors>
  <commentList>
    <comment ref="L8" authorId="0" shapeId="0">
      <text>
        <r>
          <rPr>
            <b/>
            <sz val="9"/>
            <color indexed="81"/>
            <rFont val="Segoe UI"/>
            <family val="2"/>
          </rPr>
          <t>Admin:</t>
        </r>
        <r>
          <rPr>
            <sz val="9"/>
            <color indexed="81"/>
            <rFont val="Segoe UI"/>
            <family val="2"/>
          </rPr>
          <t xml:space="preserve">
</t>
        </r>
      </text>
    </comment>
  </commentList>
</comments>
</file>

<file path=xl/sharedStrings.xml><?xml version="1.0" encoding="utf-8"?>
<sst xmlns="http://schemas.openxmlformats.org/spreadsheetml/2006/main" count="17921" uniqueCount="2534">
  <si>
    <t>Descrição</t>
  </si>
  <si>
    <t>Item</t>
  </si>
  <si>
    <t>Unid</t>
  </si>
  <si>
    <t>Quant</t>
  </si>
  <si>
    <t>m²</t>
  </si>
  <si>
    <t>Louças e metais</t>
  </si>
  <si>
    <t>PPCI</t>
  </si>
  <si>
    <t>Hidrossanitário</t>
  </si>
  <si>
    <t>Programa de Condições e Meio Ambiente de Trabalho na Indústria da Construção – PCMAT e outros</t>
  </si>
  <si>
    <t>BDI</t>
  </si>
  <si>
    <t>mês</t>
  </si>
  <si>
    <t>Mestre de obras (turno Integral )</t>
  </si>
  <si>
    <t>Pisos</t>
  </si>
  <si>
    <t>m</t>
  </si>
  <si>
    <t>Elétrica e dados</t>
  </si>
  <si>
    <t>pç</t>
  </si>
  <si>
    <t>2.2</t>
  </si>
  <si>
    <t>2.3</t>
  </si>
  <si>
    <t>kg</t>
  </si>
  <si>
    <t>3.1</t>
  </si>
  <si>
    <t>Rede de dutos</t>
  </si>
  <si>
    <t>3.2</t>
  </si>
  <si>
    <t>2.1</t>
  </si>
  <si>
    <t>2.1.1</t>
  </si>
  <si>
    <t>2.1.2</t>
  </si>
  <si>
    <t>2.1.3</t>
  </si>
  <si>
    <t>2.1.4</t>
  </si>
  <si>
    <t>2.2.1</t>
  </si>
  <si>
    <t>2.2.2</t>
  </si>
  <si>
    <t>2.2.3</t>
  </si>
  <si>
    <t>Fitas de sinalização</t>
  </si>
  <si>
    <t>ARTs de execução</t>
  </si>
  <si>
    <t>1.1</t>
  </si>
  <si>
    <t>1.2</t>
  </si>
  <si>
    <t>1.3</t>
  </si>
  <si>
    <t>1.4</t>
  </si>
  <si>
    <t>1.5</t>
  </si>
  <si>
    <t>1.6</t>
  </si>
  <si>
    <t>2.1.5</t>
  </si>
  <si>
    <t>2.1.6</t>
  </si>
  <si>
    <t>Equipamentos</t>
  </si>
  <si>
    <t xml:space="preserve">                                     CRONOGRAMA FÍSICO-FINANCEIRO</t>
  </si>
  <si>
    <t>DESCRIÇÃO DOS ITENS</t>
  </si>
  <si>
    <t>% DO TOTAL</t>
  </si>
  <si>
    <t>MESES</t>
  </si>
  <si>
    <t>ACUMULADO</t>
  </si>
  <si>
    <t>R$</t>
  </si>
  <si>
    <t>%</t>
  </si>
  <si>
    <t>TOTAL DO ORÇAMENTO - R$</t>
  </si>
  <si>
    <t>TOTAL DO PERÍODO - R$</t>
  </si>
  <si>
    <t>PORCENTAGEM DO PERÍODO - %</t>
  </si>
  <si>
    <t>TOTAL ACUMULADO - R$</t>
  </si>
  <si>
    <t>PORCENTAGEM DO ACUMULADO - %</t>
  </si>
  <si>
    <t>Em atenção ao estabelecido pelo Acórdão 2622/2013 – TCU – Plenário reformamos a orientação e indicamos a utilização dos seguintes parâmetros para taxas de BDI:</t>
  </si>
  <si>
    <t>VALORES DE BDI POR TIPO DE OBRA</t>
  </si>
  <si>
    <t>TIPO DE OBRA</t>
  </si>
  <si>
    <t>1 Quartil</t>
  </si>
  <si>
    <t>Médio</t>
  </si>
  <si>
    <t>3 Quartil</t>
  </si>
  <si>
    <t>Construção de Edificios</t>
  </si>
  <si>
    <t>2.2  Para o tipo de obra  "Construção de Edificios"</t>
  </si>
  <si>
    <t>PARCELA DO BDI</t>
  </si>
  <si>
    <t>Administração Central</t>
  </si>
  <si>
    <t>Seguro e Garantia</t>
  </si>
  <si>
    <t>Risco</t>
  </si>
  <si>
    <t>Despesas Financeira</t>
  </si>
  <si>
    <t>Lucro</t>
  </si>
  <si>
    <t>PIS, CONFINS E ISSQN</t>
  </si>
  <si>
    <t>Conforme legislação especifica</t>
  </si>
  <si>
    <t>OBSERVAÇÕES</t>
  </si>
  <si>
    <t>Parâmetro</t>
  </si>
  <si>
    <t>Verificação</t>
  </si>
  <si>
    <t xml:space="preserve"> BDI ADOTADO</t>
  </si>
  <si>
    <t>a) Os percentuais de Impostos a serem adotados devem ser indicados pelo Tomador, conforme legislação vigente.Para o ISS, deverão ser definidos pelo Tomador, através de declaração informativa, conforme legislação tributária municipal, a base de cálculo e, sobre esta, a respectiva alíquota do ISS, que será um percentual entre 2% e 5%.</t>
  </si>
  <si>
    <t>Seguros e Garantias</t>
  </si>
  <si>
    <t>Riscos</t>
  </si>
  <si>
    <t>b) As tabelas acima foram construídas sem considerar a desoneração sobre a folha de pagamento prevista na Lei n° 12.844/2013. Para análise de orçamentos considerando a contribuição previdenciária sobre a receita bruta deverá ser somada a alíquota de 2% no item impostos.</t>
  </si>
  <si>
    <t>Despesas Financeiras</t>
  </si>
  <si>
    <t>c) Para o tipo de obra “Construção de Edifícios” enquadram-se: a construção e reforma de: edifícios, unidades habitacionais, escolas, hospitais, hotéis, restaurantes, armazéns e depósitos, edifícios para uso agropecuário, estações para trens e metropolitanos, estádios esportivos e quadras cobertas, instalações para embarque e desembarque de passageiros (em aeroportos, rodoviárias, portos, etc.), penitenciárias e presídios, a construção de edifícios industriais (fábricas, oficinas, galpões industriais, etc.), conforme classificação 4120-4 do CNAE 2.0. Também enquadram-se pórticos, mirantes e outros edifícios de finalidade turística.</t>
  </si>
  <si>
    <t>Impostos: PIS e COFINS</t>
  </si>
  <si>
    <t>Impostos: ISS (mun.)</t>
  </si>
  <si>
    <t>Custo unitário - Material - S/BDI - R$</t>
  </si>
  <si>
    <t>Custo unitário - Mão de obra - S/BDI - R$</t>
  </si>
  <si>
    <t>Custo Total Material + Mão de obra - S/BDI -R$</t>
  </si>
  <si>
    <t>Preço Total Material - C/ BDI - R$</t>
  </si>
  <si>
    <t>Preço Total Mão de obra - C/BDI - R$</t>
  </si>
  <si>
    <t>Preço Total - C/BDI - R$</t>
  </si>
  <si>
    <t>VALOR TOTAL C/BDI- R$</t>
  </si>
  <si>
    <t>Entrega eletrônica e impressa do projeto AS BUILT e do DATABOOK contendo todos os manuais e especificações dos equipamentos e softwares instalados.</t>
  </si>
  <si>
    <t>Civil/Arquitetura</t>
  </si>
  <si>
    <t>Retirada de hidrossanitário e esgoto</t>
  </si>
  <si>
    <t>Demolição do sistema de climatização</t>
  </si>
  <si>
    <t xml:space="preserve">Retirada de equipamentos e louças dos sanitários </t>
  </si>
  <si>
    <t>2.1.7</t>
  </si>
  <si>
    <t>2.1.8</t>
  </si>
  <si>
    <t>2.1.9</t>
  </si>
  <si>
    <t>2.1.10</t>
  </si>
  <si>
    <t>Remoção e Demolição</t>
  </si>
  <si>
    <t>Paredes e Painéis</t>
  </si>
  <si>
    <t>Paredes de Gesso</t>
  </si>
  <si>
    <t>Paredes de alvenaria</t>
  </si>
  <si>
    <t>Parede de tijolos furados 15 cm</t>
  </si>
  <si>
    <t>Forros</t>
  </si>
  <si>
    <t>Fornecimento e instalação de forro mineral 62,5x62,5 cm e estrutura de suportação</t>
  </si>
  <si>
    <t>Revestimento cerâmico</t>
  </si>
  <si>
    <t>Chapisco 0,5cm</t>
  </si>
  <si>
    <t>Pinturas</t>
  </si>
  <si>
    <t>Fundo preparador paredes e tetos</t>
  </si>
  <si>
    <t>Massa acrílica paredes c/reboco</t>
  </si>
  <si>
    <t>Raspagem e lixação da pintura antiga</t>
  </si>
  <si>
    <t>Esquadrias</t>
  </si>
  <si>
    <t>Sprinkler 15mm (temperatura de acionamento de 68ºc)</t>
  </si>
  <si>
    <t>Tubo PVC CLASSE R 40mm</t>
  </si>
  <si>
    <t>Tubo PVC CLASSE R 50mm</t>
  </si>
  <si>
    <t>Tubo PVC CLASSE R 100mm</t>
  </si>
  <si>
    <t xml:space="preserve">Junção simples para esgoto PVC CLASSE R 40x40 </t>
  </si>
  <si>
    <t>Junção simples para esgoto PVC CLASSE R 50x50</t>
  </si>
  <si>
    <t>Junção simples para esgoto PVC CLASSE R   100 x 100</t>
  </si>
  <si>
    <t>Torneira automática lavatório</t>
  </si>
  <si>
    <t>Torneira automática lavatório PNE</t>
  </si>
  <si>
    <t>Joelho 45° para esgoto PVC CLASSE R - 40 mm</t>
  </si>
  <si>
    <t>Joelho 90° para esgoto PVC CLASSE R - 100 mm</t>
  </si>
  <si>
    <t>Joelho 90° para esgoto PVC CLASSE R - 40 mm</t>
  </si>
  <si>
    <t>Joelho 45° para esgoto PVC CLASSE R - 50 mm</t>
  </si>
  <si>
    <t>Joelho 45° para esgoto PVC CLASSE R - 100 mm</t>
  </si>
  <si>
    <t>Conduíte flexível com alma de aço ø25mm (1")</t>
  </si>
  <si>
    <t>Box de alumínio reto, com arruela e contra porca  ø25mm (1")</t>
  </si>
  <si>
    <t>Cabo de controle 2x1 mm² com shield</t>
  </si>
  <si>
    <t>Sistema de Controle de Acesso - SCA</t>
  </si>
  <si>
    <t>Tubo PPR PN25 - 25mm</t>
  </si>
  <si>
    <t>Joelho 90° PPR PN25 - 25mm</t>
  </si>
  <si>
    <t>Conector PPR PN25 solda/rosca - 1"</t>
  </si>
  <si>
    <t>SINALIZAÇÃO</t>
  </si>
  <si>
    <t>SPRINKLER</t>
  </si>
  <si>
    <t>3.3</t>
  </si>
  <si>
    <t>SISTEMA DE DETECÇÃO E ALARME DE INCÊNDIO - SDAI</t>
  </si>
  <si>
    <t>Sistema de climatização</t>
  </si>
  <si>
    <t>Duto em chapa aço galvanizado # 26 e acessórios</t>
  </si>
  <si>
    <t>Duto em chapa aço galvanizado # 24 e acessórios</t>
  </si>
  <si>
    <t>Duto Flexível com isolamento térmico - Ø150mm</t>
  </si>
  <si>
    <t>Duto Flexível com isolamento térmico - Ø180mm</t>
  </si>
  <si>
    <t>Tubulações de água gelada</t>
  </si>
  <si>
    <t>Tubulações frigorígenas</t>
  </si>
  <si>
    <t>Automação</t>
  </si>
  <si>
    <t>Grelhas e difusores de ar</t>
  </si>
  <si>
    <t>Quadro geral de automação, com gerenciador de rede e controlador Lógico Programável - CLP e Gateway de comunicação, com no mínimo 2 entradas analógicas, 4 entradas digital e 4 saídas digital, capacidade de programa 16k passos, com portas de comunicção 01xRS232 e 02xRS485,  com protocolo Modbus ASCII/RTU e ModBus, com módulo de comunicação ethernet</t>
  </si>
  <si>
    <t>Cabo de cobre unipolar #10,0mm², flexível HF (Não Halogenado),90°C 0,6/1kV. Ref. Afumex, Afitox ou equivalente - Alimentador</t>
  </si>
  <si>
    <t xml:space="preserve">Conjunto de duas tomadas 2P+T(NBR 14136) 20A (preta) em caixa metálica condulete 4x2". </t>
  </si>
  <si>
    <t>Conjunto Plugs Macho/Femea 2P+T 10A/250V NBR 14136 (ligação luminária)</t>
  </si>
  <si>
    <t xml:space="preserve">Porta Equipamento para Três Blocos, BRANCO,  específica de canaleta de aluminio . Ref. Dutotec ou equivalente </t>
  </si>
  <si>
    <t xml:space="preserve">Bloco Cego - BRANCO  específica de canaleta de aluminio. Ref. Dutotec ou equivalente </t>
  </si>
  <si>
    <t xml:space="preserve">Bloco tomada 2P+T(NBR 14136) 10A específica de canaleta de aluminio. Ref. Dutotec ou equivalente </t>
  </si>
  <si>
    <t xml:space="preserve">Bloco tomada 2P+T(NBR 14136) 20A específica de canaleta de aluminio. Ref. Dutotec ou equivalente </t>
  </si>
  <si>
    <t>Barramento de equipotencialização</t>
  </si>
  <si>
    <t>Cabo de cobre nu 16mm²</t>
  </si>
  <si>
    <t xml:space="preserve">Suporte suspensão para eletrocalha 150x75mm </t>
  </si>
  <si>
    <t>Curva vertical de inversão para eletrocalha 150x75mm</t>
  </si>
  <si>
    <t>Curva horizontal 90° para eletrocalha 150x75mm</t>
  </si>
  <si>
    <t>Saída eletrocalha horizontal para perfilado</t>
  </si>
  <si>
    <t>Emenda interna tipo "U" para eletrocalha 150x75mm</t>
  </si>
  <si>
    <t>Acoplamento para eletrocalha 150x75mm</t>
  </si>
  <si>
    <t xml:space="preserve">Emendas Internas ("I", "L") para perfilado 76x38mm  </t>
  </si>
  <si>
    <t>Derivação lateral para eletroduto 3/4"</t>
  </si>
  <si>
    <t>Chumbador rosca interna 1/4"</t>
  </si>
  <si>
    <t>Cabo tipo UTP 4 pares, categoria 5e, modelo MULTI-LAN, com baixa emissão de gases (tipo LSZH). Ref. Furukawa ou equivalente</t>
  </si>
  <si>
    <t>Patch Cord 2,5m, Categoria 5e (Estações de Trabalho)</t>
  </si>
  <si>
    <t>Quadros Elétricos</t>
  </si>
  <si>
    <t>Condutores Elétricos</t>
  </si>
  <si>
    <t>Interruptores e Tomadas</t>
  </si>
  <si>
    <t>Luminárias</t>
  </si>
  <si>
    <t>Condutor de cobre unipolar flexível, HF (Não Halogenado), 70°C 450/750V. Ref. Afitox, Afumex ou equivalente, seção 2,5mm²</t>
  </si>
  <si>
    <t>Condutor de cobre unipolar flexível, HF (Não Halogenado), 70°C 450/750V. Ref. Afitox, Afumex ou equivalente, seção 4,0mm²</t>
  </si>
  <si>
    <t xml:space="preserve">Cabo de cobre PP Cordplast 3x1,5mm² HF (Não Halogenado), 70°C 450/750V. Ref. Afitox, Afumex ou equivalente. (Ligação Luminárias, Sensor Presença) </t>
  </si>
  <si>
    <t xml:space="preserve">Canaleta de alumínio dupla de 73x25mm com tampa de encaixe (Pintura eletrostática branca). Ref. Dutotec ou equivalente </t>
  </si>
  <si>
    <t>Canaleta Aluminio de Sobrepor e Acessórios</t>
  </si>
  <si>
    <t>Eletrodutos, Eletrocalhas, Perfilados e Acessórios</t>
  </si>
  <si>
    <t>Aterramento</t>
  </si>
  <si>
    <t>Rede Lógica</t>
  </si>
  <si>
    <t>Rack padrão 19" tipo gabinete fechado com porta de vidro com chave, Cor RAL 7032, próprio para cabeamento estruturado de 44 Us, profundidade interna de 600 mm. Fixado na parede com 01 (uma) bandeja de 04 (quatro) apoios e 130 conjuntos de parafusos porca/gaiola e 07(sete) organizadores de cabos (existente)</t>
  </si>
  <si>
    <t>Luminária de Embutir - circular para lâmpada E27 LED, instalação em forro de gesso,  com refletor parabólico e aletas de alumínio anodizado brilhante de alta refletância e alta pureza 99,85%, completa. Certificação CE, Garantia de mínima de 02 Anos. .</t>
  </si>
  <si>
    <t>Luminária arandela de sobrepor para lâmpada LED E27</t>
  </si>
  <si>
    <t>Luminária de Embutir - para quatro lâmpadas tubulares LED T8 (4x9 W), instalação em forro com modelação de 625x625mm,  com refletor parabólico e aletas de alumínio anodizado brilhante de alta refletância e alta pureza 99,85%. Soquete tipo push-in G-13 de engate rápido, rotor de segurança em policarbonato e contatos em bronze fosforoso, completa. Certificação CE, Garantia de mínima de 02 Anos. .</t>
  </si>
  <si>
    <t xml:space="preserve">Bloco interruptor paralelo (branco) específica de canaleta de aluminio. Ref. Dutotec ou equivalente </t>
  </si>
  <si>
    <t xml:space="preserve">Bloco interruptor simples (branco) específica de canaleta de aluminio. Ref. Dutotec ou equivalente </t>
  </si>
  <si>
    <t>Sensor de presença 360° para instalação em teto</t>
  </si>
  <si>
    <t>Caixas e Conduletes</t>
  </si>
  <si>
    <t>Condulete de alumínio LR ø 25mm (1")</t>
  </si>
  <si>
    <t>Condulete de alumínio T ø 25mm (1")</t>
  </si>
  <si>
    <t>Condulete de alumínio X ø 25mm (1")</t>
  </si>
  <si>
    <t>5.1</t>
  </si>
  <si>
    <t>5.2</t>
  </si>
  <si>
    <t>5.3</t>
  </si>
  <si>
    <t>5.4</t>
  </si>
  <si>
    <t>5.5</t>
  </si>
  <si>
    <t>5.6</t>
  </si>
  <si>
    <t>7.1</t>
  </si>
  <si>
    <t>7.2</t>
  </si>
  <si>
    <t>7.3</t>
  </si>
  <si>
    <t>7.4</t>
  </si>
  <si>
    <t>7.5</t>
  </si>
  <si>
    <t>7.7</t>
  </si>
  <si>
    <t>7.8</t>
  </si>
  <si>
    <t>7.9</t>
  </si>
  <si>
    <t>3.1.1</t>
  </si>
  <si>
    <t>3.1.2</t>
  </si>
  <si>
    <t>3.1.3</t>
  </si>
  <si>
    <t>3.2.1</t>
  </si>
  <si>
    <t>3.3.1</t>
  </si>
  <si>
    <t>3.3.2</t>
  </si>
  <si>
    <t>3.3.3</t>
  </si>
  <si>
    <t>3.3.4</t>
  </si>
  <si>
    <t>3.3.5</t>
  </si>
  <si>
    <t>3.3.6</t>
  </si>
  <si>
    <t>3.3.7</t>
  </si>
  <si>
    <t>3.3.8</t>
  </si>
  <si>
    <t>3.3.9</t>
  </si>
  <si>
    <t>3.3.10</t>
  </si>
  <si>
    <t>3.3.11</t>
  </si>
  <si>
    <t>3.3.12</t>
  </si>
  <si>
    <t>4.1</t>
  </si>
  <si>
    <t>4.6</t>
  </si>
  <si>
    <t>4.2</t>
  </si>
  <si>
    <t>4.5</t>
  </si>
  <si>
    <t>4.4</t>
  </si>
  <si>
    <t>4.3</t>
  </si>
  <si>
    <t>4.8</t>
  </si>
  <si>
    <t>4.7</t>
  </si>
  <si>
    <t>4.10</t>
  </si>
  <si>
    <t>4.11</t>
  </si>
  <si>
    <t>4.12</t>
  </si>
  <si>
    <t>4.13</t>
  </si>
  <si>
    <t>4.14</t>
  </si>
  <si>
    <t>4.15</t>
  </si>
  <si>
    <t>4.16</t>
  </si>
  <si>
    <t>4.17</t>
  </si>
  <si>
    <t>4.19</t>
  </si>
  <si>
    <t>4.20</t>
  </si>
  <si>
    <t>4.21</t>
  </si>
  <si>
    <t>4.22</t>
  </si>
  <si>
    <t>5.1.1</t>
  </si>
  <si>
    <t>5.2.2</t>
  </si>
  <si>
    <t>5.1.2</t>
  </si>
  <si>
    <t>5.1.3</t>
  </si>
  <si>
    <t>5.1.4</t>
  </si>
  <si>
    <t>5.1.5</t>
  </si>
  <si>
    <t>5.1.6</t>
  </si>
  <si>
    <t>5.1.7</t>
  </si>
  <si>
    <t>5.1.8</t>
  </si>
  <si>
    <t>5.1.9</t>
  </si>
  <si>
    <t>5.1.10</t>
  </si>
  <si>
    <t>5.2.1</t>
  </si>
  <si>
    <t>5.2.3</t>
  </si>
  <si>
    <t>5.2.4</t>
  </si>
  <si>
    <t>5.2.5</t>
  </si>
  <si>
    <t>5.2.6</t>
  </si>
  <si>
    <t>5.3.1</t>
  </si>
  <si>
    <t>5.3.2</t>
  </si>
  <si>
    <t>5.3.3</t>
  </si>
  <si>
    <t>5.3.4</t>
  </si>
  <si>
    <t>5.3.5</t>
  </si>
  <si>
    <t>5.4.1</t>
  </si>
  <si>
    <t>5.4.2</t>
  </si>
  <si>
    <t>5.5.1</t>
  </si>
  <si>
    <t>5.5.2</t>
  </si>
  <si>
    <t>5.6.1</t>
  </si>
  <si>
    <t>5.6.2</t>
  </si>
  <si>
    <t>6.1</t>
  </si>
  <si>
    <t>6.2</t>
  </si>
  <si>
    <t>6.3</t>
  </si>
  <si>
    <t>6.4</t>
  </si>
  <si>
    <t>6.5</t>
  </si>
  <si>
    <t>6.6</t>
  </si>
  <si>
    <t>6.7</t>
  </si>
  <si>
    <t>6.8</t>
  </si>
  <si>
    <t>6.9</t>
  </si>
  <si>
    <t>7.1.1</t>
  </si>
  <si>
    <t>7.1.2</t>
  </si>
  <si>
    <t>7.1.3</t>
  </si>
  <si>
    <t>7.2.1</t>
  </si>
  <si>
    <t>7.2.2</t>
  </si>
  <si>
    <t>7.2.3</t>
  </si>
  <si>
    <t>7.2.4</t>
  </si>
  <si>
    <t>7.3.1</t>
  </si>
  <si>
    <t>7.3.2</t>
  </si>
  <si>
    <t>7.3.3</t>
  </si>
  <si>
    <t>7.4.1</t>
  </si>
  <si>
    <t>7.4.2</t>
  </si>
  <si>
    <t>7.4.3</t>
  </si>
  <si>
    <t>7.4.4</t>
  </si>
  <si>
    <t>7.4.5</t>
  </si>
  <si>
    <t>7.4.6</t>
  </si>
  <si>
    <t>7.4.7</t>
  </si>
  <si>
    <t>7.5.1</t>
  </si>
  <si>
    <t>7.5.2</t>
  </si>
  <si>
    <t>7.5.3</t>
  </si>
  <si>
    <t>7.5.4</t>
  </si>
  <si>
    <t>7.5.5</t>
  </si>
  <si>
    <t>7.5.6</t>
  </si>
  <si>
    <t>7.5.7</t>
  </si>
  <si>
    <t>7.5.8</t>
  </si>
  <si>
    <t>7.5.9</t>
  </si>
  <si>
    <t>7.6.1</t>
  </si>
  <si>
    <t>7.6.2</t>
  </si>
  <si>
    <t>7.6.3</t>
  </si>
  <si>
    <t>7.6.4</t>
  </si>
  <si>
    <t>7.7.1</t>
  </si>
  <si>
    <t>7.7.2</t>
  </si>
  <si>
    <t>7.7.3</t>
  </si>
  <si>
    <t>7.7.5</t>
  </si>
  <si>
    <t>7.7.6</t>
  </si>
  <si>
    <t>7.7.7</t>
  </si>
  <si>
    <t>7.7.8</t>
  </si>
  <si>
    <t>7.7.9</t>
  </si>
  <si>
    <t>7.7.10</t>
  </si>
  <si>
    <t>7.7.11</t>
  </si>
  <si>
    <t>7.7.12</t>
  </si>
  <si>
    <t>7.7.13</t>
  </si>
  <si>
    <t>7.7.14</t>
  </si>
  <si>
    <t>7.7.15</t>
  </si>
  <si>
    <t>7.7.16</t>
  </si>
  <si>
    <t>7.7.17</t>
  </si>
  <si>
    <t>7.8.1</t>
  </si>
  <si>
    <t>7.8.2</t>
  </si>
  <si>
    <t>7.9.1</t>
  </si>
  <si>
    <t>7.9.2</t>
  </si>
  <si>
    <t>7.9.3</t>
  </si>
  <si>
    <t>7.9.4</t>
  </si>
  <si>
    <t>7.9.5</t>
  </si>
  <si>
    <t>7.9.6</t>
  </si>
  <si>
    <t>7.9.7</t>
  </si>
  <si>
    <t>Difusor de insuflamento em alumínio anodizado, com registro - 3 vias, tamanho: 371x208mm</t>
  </si>
  <si>
    <t>Difusor de insuflamento em alumínio anodizado, com registro - 4 vias, tamanho 3 - 249x249 mm</t>
  </si>
  <si>
    <t>Difusor de insuflamento em alumínio anodizado, com registro - 4 vias, tamanho 4, 305x305 mm</t>
  </si>
  <si>
    <t>Manta em lã de vidro aluminizada, espessura 38 mm, tipo RT1</t>
  </si>
  <si>
    <t>Demolição de forro de gesso</t>
  </si>
  <si>
    <t>Demolição de forro Buffle</t>
  </si>
  <si>
    <t>2.1.11</t>
  </si>
  <si>
    <t>Painéis e portas modulares</t>
  </si>
  <si>
    <t>2.2.2.1</t>
  </si>
  <si>
    <t>2.2.1.1</t>
  </si>
  <si>
    <t>2.2.2.2</t>
  </si>
  <si>
    <t>2.2.2.3</t>
  </si>
  <si>
    <t>2.2.3.1</t>
  </si>
  <si>
    <t>2.2.3.2</t>
  </si>
  <si>
    <t>2.2.3.3</t>
  </si>
  <si>
    <t>2.2.3.4</t>
  </si>
  <si>
    <t>2.2.3.5</t>
  </si>
  <si>
    <t>2.2.3.6</t>
  </si>
  <si>
    <t>2.2.3.7</t>
  </si>
  <si>
    <t>2.2.3.8</t>
  </si>
  <si>
    <t>2.3.1</t>
  </si>
  <si>
    <t>2.4</t>
  </si>
  <si>
    <t>2.4.1</t>
  </si>
  <si>
    <t>2.4.2</t>
  </si>
  <si>
    <t>2.4.3</t>
  </si>
  <si>
    <t>2.5</t>
  </si>
  <si>
    <t>2.5.1</t>
  </si>
  <si>
    <t>2.5.2</t>
  </si>
  <si>
    <t>2.6</t>
  </si>
  <si>
    <t>2.6.1</t>
  </si>
  <si>
    <t>2.6.2</t>
  </si>
  <si>
    <t>2.6.3</t>
  </si>
  <si>
    <t>2.6.4</t>
  </si>
  <si>
    <t>2.7</t>
  </si>
  <si>
    <t>1.8</t>
  </si>
  <si>
    <t>2.7.1</t>
  </si>
  <si>
    <t>2.7.2</t>
  </si>
  <si>
    <t>2.7.3</t>
  </si>
  <si>
    <t>2.7.4</t>
  </si>
  <si>
    <t>2.8</t>
  </si>
  <si>
    <t>2.8.1</t>
  </si>
  <si>
    <t>2.8.2</t>
  </si>
  <si>
    <t>2.8.3</t>
  </si>
  <si>
    <t>2.8.4</t>
  </si>
  <si>
    <t>2.8.5</t>
  </si>
  <si>
    <t>2.8.6</t>
  </si>
  <si>
    <t>2.8.7</t>
  </si>
  <si>
    <t>2.8.8</t>
  </si>
  <si>
    <t>2.8.9</t>
  </si>
  <si>
    <t>2.8.10</t>
  </si>
  <si>
    <t>2.8.11</t>
  </si>
  <si>
    <t>2.8.12</t>
  </si>
  <si>
    <t>2.8.13</t>
  </si>
  <si>
    <t>2.8.14</t>
  </si>
  <si>
    <t>2.8.15</t>
  </si>
  <si>
    <t>2.8.16</t>
  </si>
  <si>
    <t>2.8.17</t>
  </si>
  <si>
    <t>2.8.18</t>
  </si>
  <si>
    <t>Massa única, para recebimento de pintura, espessura 20 mm</t>
  </si>
  <si>
    <t>2.1.12</t>
  </si>
  <si>
    <t>Regularização de contra piso para assentamento</t>
  </si>
  <si>
    <t>Curva de aço galvanizado pesado, ø 25mm (1")</t>
  </si>
  <si>
    <t>Regularização de paredes para assentamento</t>
  </si>
  <si>
    <t>Ralo sifonado DN 100x53x40</t>
  </si>
  <si>
    <t>Demolição de divisória de vidro</t>
  </si>
  <si>
    <t>Demolição de divisória de granito</t>
  </si>
  <si>
    <t>Demolição de piso cerâmico</t>
  </si>
  <si>
    <t>Demolição de piso granito</t>
  </si>
  <si>
    <t>Demolição de paredes de gesso e portas</t>
  </si>
  <si>
    <t>2.1.13</t>
  </si>
  <si>
    <t>2.1.14</t>
  </si>
  <si>
    <t>2.1.15</t>
  </si>
  <si>
    <t>2.2.3.9</t>
  </si>
  <si>
    <t>2.7.5</t>
  </si>
  <si>
    <t>FONTE PREÇO</t>
  </si>
  <si>
    <t>M</t>
  </si>
  <si>
    <t>COMPOSICAO</t>
  </si>
  <si>
    <t>CHP</t>
  </si>
  <si>
    <t>CHI</t>
  </si>
  <si>
    <t>INSUMO</t>
  </si>
  <si>
    <t>PASTA LUBRIFICANTE PARA TUBOS E CONEXOES COM JUNTA ELASTICA (USO EM PVC, ACO, POLIETILENO E OUTROS) ( DE *400* G)</t>
  </si>
  <si>
    <t>UN</t>
  </si>
  <si>
    <t>H</t>
  </si>
  <si>
    <t>88316</t>
  </si>
  <si>
    <t>SERVENTE COM ENCARGOS COMPLEMENTARES</t>
  </si>
  <si>
    <t>KG</t>
  </si>
  <si>
    <t>SOLDADOR COM ENCARGOS COMPLEMENTARES</t>
  </si>
  <si>
    <t>M3</t>
  </si>
  <si>
    <t>0,5000000</t>
  </si>
  <si>
    <t>0,0120000</t>
  </si>
  <si>
    <t>0,0690000</t>
  </si>
  <si>
    <t>M2</t>
  </si>
  <si>
    <t>EXTINTOR DE INCENDIO PORTATIL COM CARGA DE PO QUIMICO SECO (PQS) DE 4 KG, CLASSE BC</t>
  </si>
  <si>
    <t>VASO SANITÁRIO SIFONADO COM CAIXA ACOPLADA LOUÇA BRANCA - FORNECIMENTO E INSTALAÇÃO. AF_01/2020</t>
  </si>
  <si>
    <t>CAIXA SIFONADA, PVC, DN 100 X 100 X 50 MM, FORNECIDA E INSTALADA EM RAMAIS DE ENCAMINHAMENTO DE ÁGUA PLUVIAL. AF_12/2014</t>
  </si>
  <si>
    <t>PORTA DE MADEIRA PARA PINTURA, SEMI-OCA (LEVE OU MÉDIA), 80X210CM, ESPESSURA DE 3,5CM, INCLUSO DOBRADIÇAS - FORNECIMENTO E INSTALAÇÃO. AF_12/2019</t>
  </si>
  <si>
    <t>CAIXA DE PASSAGEM PARA TELEFONE 15X15X10CM (SOBREPOR), FORNECIMENTO E INSTALACAO. AF_11/2019</t>
  </si>
  <si>
    <t>CARPINTEIRO DE FORMAS COM ENCARGOS COMPLEMENTARES</t>
  </si>
  <si>
    <t>CAIBRO NAO APARELHADO *5 X 6* CM, EM MACARANDUBA, ANGELIM OU EQUIVALENTE DA REGIAO -  BRUTA</t>
  </si>
  <si>
    <t>VALVULA DE DESCARGA EM METAL CROMADO PARA MICTORIO COM ACIONAMENTO POR PRESSAO E FECHAMENTO AUTOMATICO</t>
  </si>
  <si>
    <t>KIT DE REGISTRO DE PRESSÃO BRUTO DE LATÃO ¾", INCLUSIVE CONEXÕES, ROSCÁVEL, INSTALADO EM RAMAL DE ÁGUA FRIA - FORNECIMENTO E INSTALAÇÃO. AF_12/2014</t>
  </si>
  <si>
    <t>INTERRUPTOR SIMPLES (2 MÓDULOS), 10A/250V, INCLUINDO SUPORTE E PLACA - FORNECIMENTO E INSTALAÇÃO. AF_12/2015</t>
  </si>
  <si>
    <t>CHUVEIRO ELÉTRICO COMUM CORPO PLÁSTICO, TIPO DUCHA  FORNECIMENTO E INSTALAÇÃO. AF_01/2020</t>
  </si>
  <si>
    <t>PÁ CARREGADEIRA SOBRE RODAS, POTÊNCIA LÍQUIDA 128 HP, CAPACIDADE DA CAÇAMBA 1,7 A 2,8 M3, PESO OPERACIONAL 11632 KG - CHP DIURNO. AF_06/2014</t>
  </si>
  <si>
    <t>CAMINHÃO BASCULANTE 6 M3 TOCO, PESO BRUTO TOTAL 16.000 KG, CARGA ÚTIL MÁXIMA 11.130 KG, DISTÂNCIA ENTRE EIXOS 5,36 M, POTÊNCIA 185 CV, INCLUSIVE CAÇAMBA METÁLICA - CHP DIURNO. AF_06/2014</t>
  </si>
  <si>
    <t>PINTOR COM ENCARGOS COMPLEMENTARES</t>
  </si>
  <si>
    <t>PÁ CARREGADEIRA SOBRE RODAS, POTÊNCIA LÍQUIDA 128 HP, CAPACIDADE DA CAÇAMBA 1,7 A 2,8 M3, PESO OPERACIONAL 11632 KG - CHI DIURNO. AF_06/2014</t>
  </si>
  <si>
    <t>CAMINHÃO BASCULANTE 6 M3 TOCO, PESO BRUTO TOTAL 16.000 KG, CARGA ÚTIL MÁXIMA 11.130 KG, DISTÂNCIA ENTRE EIXOS 5,36 M, POTÊNCIA 185 CV, INCLUSIVE CAÇAMBA METÁLICA - CHI DIURNO. AF_06/2014</t>
  </si>
  <si>
    <t>L</t>
  </si>
  <si>
    <t>CENTO</t>
  </si>
  <si>
    <t>0,0620000</t>
  </si>
  <si>
    <t>SELANTE ELASTICO MONOCOMPONENTE A BASE DE POLIURETANO (PU) PARA JUNTAS DIVERSAS</t>
  </si>
  <si>
    <t>310ML</t>
  </si>
  <si>
    <t>88278</t>
  </si>
  <si>
    <t>MONTADOR DE ESTRUTURA METÁLICA COM ENCARGOS COMPLEMENTARES</t>
  </si>
  <si>
    <t>PEDREIRO COM ENCARGOS COMPLEMENTARES</t>
  </si>
  <si>
    <t>TUBO PVC, SÉRIE R, ÁGUA PLUVIAL, DN 50 MM, FORNECIDO E INSTALADO EM RAMAL DE ENCAMINHAMENTO. AF_12/2014</t>
  </si>
  <si>
    <t>MES</t>
  </si>
  <si>
    <t>AJUDANTE ESPECIALIZADO COM ENCARGOS COMPLEMENTARES</t>
  </si>
  <si>
    <t>0,0840000</t>
  </si>
  <si>
    <t>ESQUADRIAS/FERRAGENS/VIDROS</t>
  </si>
  <si>
    <t>CARPINTEIRO DE ESQUADRIA COM ENCARGOS COMPLEMENTARES</t>
  </si>
  <si>
    <t>PORTA DE MADEIRA PARA PINTURA, SEMI-OCA (LEVE OU MÉDIA), 70X210CM, ESPESSURA DE 3,5CM, INCLUSO DOBRADIÇAS - FORNECIMENTO E INSTALAÇÃO. AF_12/2019</t>
  </si>
  <si>
    <t>PORTA DE MADEIRA PARA PINTURA, SEMI-OCA (LEVE OU MÉDIA), 90X210CM, ESPESSURA DE 3,5CM, INCLUSO DOBRADIÇAS - FORNECIMENTO E INSTALAÇÃO. AF_12/2019</t>
  </si>
  <si>
    <t>BATENTE PARA PORTA DE MADEIRA, FIXAÇÃO COM ARGAMASSA, PADRÃO POPULAR. FORNECIMENTO E INSTALAÇÃO. AF_12/2019_P</t>
  </si>
  <si>
    <t>FECHADURA DE EMBUTIR COM CILINDRO, EXTERNA, COMPLETA, ACABAMENTO PADRÃO POPULAR, INCLUSO EXECUÇÃO DE FURO - FORNECIMENTO E INSTALAÇÃO. AF_12/2019</t>
  </si>
  <si>
    <t>FECHADURA DE EMBUTIR PARA PORTAS INTERNAS, COMPLETA, ACABAMENTO PADRÃO POPULAR, COM EXECUÇÃO DE FURO - FORNECIMENTO E INSTALAÇÃO. AF_12/2019</t>
  </si>
  <si>
    <t>ALIZAR DE 5X1,5CM PARA PORTA FIXADO COM PREGOS, PADRÃO POPULAR - FORNECIMENTO E INSTALAÇÃO. AF_12/2019</t>
  </si>
  <si>
    <t>KIT DE PORTA DE MADEIRA PARA PINTURA, SEMI-OCA (LEVE OU MÉDIA), PADRÃO POPULAR, 70X210CM, ESPESSURA DE 3,5CM, ITENS INCLUSOS: DOBRADIÇAS, MONTAGEM E INSTALAÇÃO DO BATENTE, FECHADURA COM EXECUÇÃO DO FURO - FORNECIMENTO E INSTALAÇÃO. AF_12/2019</t>
  </si>
  <si>
    <t>KIT DE PORTA DE MADEIRA PARA PINTURA, SEMI-OCA (LEVE OU MÉDIA), PADRÃO POPULAR, 80X210CM, ESPESSURA DE 3,5CM, ITENS INCLUSOS: DOBRADIÇAS, MONTAGEM E INSTALAÇÃO DO BATENTE, FECHADURA COM EXECUÇÃO DO FURO - FORNECIMENTO E INSTALAÇÃO. AF_12/2019</t>
  </si>
  <si>
    <t>KIT DE PORTA DE MADEIRA PARA PINTURA, SEMI-OCA (LEVE OU MÉDIA), PADRÃO POPULAR, 90X210CM, ESPESSURA DE 3,5CM, ITENS INCLUSOS: DOBRADIÇAS, MONTAGEM E INSTALAÇÃO DO BATENTE, FECHADURA COM EXECUÇÃO DO FURO - FORNECIMENTO E INSTALAÇÃO. AF_12/2019</t>
  </si>
  <si>
    <t>JANELA DE MADEIRA (PINUS/EUCALIPTO OU EQUIV.) TIPO BASCULANTE COM 2 FOLHAS PARA VIDRO, COM BATENTE, ALIZAR E FERRAGENS. EXCLUSIVE VIDROS, ACABAMENTO E CONTRAMARCO. FORNECIMENTO E INSTALAÇÃO. AF_12/2019</t>
  </si>
  <si>
    <t>JANELA BASCULANTE EM MADEIRA PINUS/ EUCALIPTO/ TAUARI/ VIROLA OU EQUIVALENTE DA REGIAO, CAIXA DO BATENTE/ MARCO *10* CM, *2* FOLHAS BASCULANTES PARA VIDRO, COM FERRAGENS (SEM VIDRO, SEM GUARNICAO/ALIZAR E SEM ACABAMENTO)</t>
  </si>
  <si>
    <t>BUCHA DE NYLON SEM ABA S6, COM PARAFUSO DE 4,20 X 40 MM EM ACO ZINCADO COM ROSCA SOBERBA, CABECA CHATA E FENDA PHILLIPS</t>
  </si>
  <si>
    <t>ELETRODO REVESTIDO AWS - E6013, DIAMETRO IGUAL A 2,50 MM</t>
  </si>
  <si>
    <t>ENGENHEIRO CIVIL DE OBRA PLENO COM ENCARGOS COMPLEMENTARES</t>
  </si>
  <si>
    <t>M3XKM</t>
  </si>
  <si>
    <t>CARGA, MANOBRA E DESCARGA DE SOLOS E MATERIAIS GRANULARES EM CAMINHÃO BASCULANTE 6 M³ - CARGA COM PÁ CARREGADEIRA (CAÇAMBA DE 1,7 A 2,8 M³ / 128 HP) E DESCARGA LIVRE (UNIDADE: M3). AF_07/2020</t>
  </si>
  <si>
    <t>ARGAMASSA TRAÇO 1:2:8 (EM VOLUME DE CIMENTO, CAL E AREIA MÉDIA ÚMIDA) PARA EMBOÇO/MASSA ÚNICA/ASSENTAMENTO DE ALVENARIA DE VEDAÇÃO, PREPARO MECÂNICO COM BETONEIRA 400 L. AF_08/2019</t>
  </si>
  <si>
    <t>IMPERMEABILIZADOR COM ENCARGOS COMPLEMENTARES</t>
  </si>
  <si>
    <t>IMPERMEABILIZACOES E PROTECOES DIVERSAS</t>
  </si>
  <si>
    <t>IMPERMEABILIZAÇÃO DE SUPERFÍCIE COM ARGAMASSA POLIMÉRICA / MEMBRANA ACRÍLICA, 3 DEMÃOS. AF_06/2018</t>
  </si>
  <si>
    <t>ARGAMASSA POLIMERICA IMPERMEABILIZANTE SEMIFLEXIVEL, BICOMPONENTE (MEMBRANA IMPERMEABILIZANTE ACRILICA)</t>
  </si>
  <si>
    <t>88247</t>
  </si>
  <si>
    <t>AUXILIAR DE ELETRICISTA COM ENCARGOS COMPLEMENTARES</t>
  </si>
  <si>
    <t>ELETRICISTA COM ENCARGOS COMPLEMENTARES</t>
  </si>
  <si>
    <t>CONDULETE DE ALUMÍNIO, TIPO LR, PARA ELETRODUTO DE AÇO GALVANIZADO DN 25 MM (1''), APARENTE - FORNECIMENTO E INSTALAÇÃO. AF_11/2016_P</t>
  </si>
  <si>
    <t>CONDULETE DE ALUMÍNIO, TIPO T, PARA ELETRODUTO DE AÇO GALVANIZADO DN 25 MM (1''), APARENTE - FORNECIMENTO E INSTALAÇÃO. AF_11/2016_P</t>
  </si>
  <si>
    <t>CONDULETE DE ALUMÍNIO, TIPO X, PARA ELETRODUTO DE AÇO GALVANIZADO DN 25 MM (1''), APARENTE - FORNECIMENTO E INSTALAÇÃO. AF_11/2016_P</t>
  </si>
  <si>
    <t>ARGAMASSA TRAÇO 1:1:6 (EM VOLUME DE CIMENTO, CAL E AREIA MÉDIA ÚMIDA) PARA EMBOÇO/MASSA ÚNICA/ASSENTAMENTO DE ALVENARIA DE VEDAÇÃO, PREPARO MANUAL. AF_08/2019</t>
  </si>
  <si>
    <t>SUPORTE PARAFUSADO COM PLACA DE ENCAIXE 4" X 2" MÉDIO (1,30 M DO PISO) PARA PONTO ELÉTRICO - FORNECIMENTO E INSTALAÇÃO. AF_12/2015</t>
  </si>
  <si>
    <t>INTERRUPTOR SIMPLES (1 MÓDULO), 10A/250V, SEM SUPORTE E SEM PLACA - FORNECIMENTO E INSTALAÇÃO. AF_12/2015</t>
  </si>
  <si>
    <t>INTERRUPTOR SIMPLES (1 MÓDULO), 10A/250V, INCLUINDO SUPORTE E PLACA - FORNECIMENTO E INSTALAÇÃO. AF_12/2015</t>
  </si>
  <si>
    <t>INTERRUPTOR SIMPLES (2 MÓDULOS), 10A/250V, SEM SUPORTE E SEM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</si>
  <si>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</si>
  <si>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</si>
  <si>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INTERMEDIÁRIO (1 MÓDULO), 10A/250V, SEM SUPORTE E SEM PLACA - FORNECIMENTO E INSTALAÇÃO. AF_09/2017</t>
  </si>
  <si>
    <t>INTERRUPTOR INTERMEDIÁRIO (1 MÓDULO), 10A/250V, INCLUINDO SUPORTE E PLACA - FORNECIMENTO E INSTALAÇÃO. AF_09/2017</t>
  </si>
  <si>
    <t>TOMADA ALTA DE EMBUTIR (1 MÓDULO), 2P+T 10 A, SEM SUPORTE E SEM PLACA - FORNECIMENTO E INSTALAÇÃO. AF_12/2015</t>
  </si>
  <si>
    <t>TOMADA ALTA DE EMBUTIR (1 MÓDULO), 2P+T 20 A,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</si>
  <si>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</si>
  <si>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</si>
  <si>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SENSOR DE PRESENÇA COM FOTOCÉLULA, FIXAÇÃO EM PAREDE - FORNECIMENTO E INSTALAÇÃO. AF_02/2020</t>
  </si>
  <si>
    <t>SENSOR DE PRESENCA BIVOLT DE PAREDE COM FOTOCELULA PARA QUALQUER TIPO DE LAMPADA POTENCIA MAXIMA *1000* W, USO INTERNO</t>
  </si>
  <si>
    <t>0,3162000</t>
  </si>
  <si>
    <t>LUMINÁRIA ARANDELA TIPO MEIA LUA, DE SOBREPOR, COM 1 LÂMPADA LED DE 6 W, SEM REATOR - FORNECIMENTO E INSTALAÇÃO. AF_02/2020</t>
  </si>
  <si>
    <t>LUMINARIA ARANDELA TIPO MEIA-LUA COM VIDRO FOSCO *30 X 15* CM, PARA 1 LAMPADA, BASE E27, POTENCIA MAXIMA 40/60 W (NAO INCLUI LAMPADA)</t>
  </si>
  <si>
    <t>CORDOALHA DE COBRE NU 16 MM², NÃO ENTERRADA, COM ISOLADOR - FORNECIMENTO E INSTALAÇÃO. AF_12/2017</t>
  </si>
  <si>
    <t>SUPORTE ISOLADOR PARA CORDOALHA DE COBRE - FORNECIMENTO E INSTALAÇÃO. AF_12/2017</t>
  </si>
  <si>
    <t>INSTALACOES ESPECIAIS</t>
  </si>
  <si>
    <t>BUCHA DE NYLON, DIAMETRO DO FURO 8 MM, COMPRIMENTO 40 MM, COM PARAFUSO DE ROSCA SOBERBA, CABECA CHATA, FENDA SIMPLES, 4,8 X 50 MM</t>
  </si>
  <si>
    <t>ADAPTADOR, EM LATAO, ENGATE RAPIDO 2 1/2" X ROSCA INTERNA 5 FIOS 2 1/2",  PARA INSTALACAO PREDIAL DE COMBATE A INCENDIO</t>
  </si>
  <si>
    <t>REGISTRO OU VALVULA GLOBO ANGULAR EM LATAO, PARA HIDRANTES EM INSTALACAO PREDIAL DE INCENDIO, 45 GRAUS, DIAMETRO DE 2 1/2", COM VOLANTE, CLASSE DE PRESSAO DE ATE 200 PSI</t>
  </si>
  <si>
    <t>CHAVE DUPLA PARA CONEXOES TIPO STORZ, ENGATE RAPIDO 1 1/2" X 2 1/2", EM LATAO, PARA INSTALACAO PREDIAL COMBATE A INCENDIO</t>
  </si>
  <si>
    <t>ESGUICHO JATO REGULAVEL, TIPO ELKHART, ENGATE RAPIDO 2 1/2", PARA COMBATE A INCENDIO</t>
  </si>
  <si>
    <t>AUXILIAR DE ENCANADOR OU BOMBEIRO HIDRÁULICO COM ENCARGOS COMPLEMENTARES</t>
  </si>
  <si>
    <t>ENCANADOR OU BOMBEIRO HIDRÁULICO COM ENCARGOS COMPLEMENTARES</t>
  </si>
  <si>
    <t>EXTINTOR DE INCÊNDIO PORTÁTIL COM CARGA DE PQS DE 4 KG, CLASSE BC - FORNECIMENTO E INSTALAÇÃO. AF_10/2020_P</t>
  </si>
  <si>
    <t>ABRIGO PARA HIDRANTE, 75X45X17CM, COM REGISTRO GLOBO ANGULAR 45 GRAUS 2 1/2", ADAPTADOR STORZ 2 1/2", MANGUEIRA DE INCÊNDIO 15M 2 1/2" E ESGUICHO EM LATÃO 2 1/2" - FORNECIMENTO E INSTALAÇÃO. AF_10/2020</t>
  </si>
  <si>
    <t>CAIXA DE INCENDIO/ABRIGO PARA MANGUEIRA, DE EMBUTIR/INTERNA, COM 75 X 45 X 17 CM, EM CHAPA DE ACO, PORTA COM VENTILACAO, VISOR COM A INSCRICAO "INCENDIO", SUPORTE/CESTA INTERNA PARA A MANGUEIRA, PINTURA ELETROSTATICA VERMELHA</t>
  </si>
  <si>
    <t>MANGUEIRA DE INCENDIO, TIPO 1, DE 1 1/2", COMPRIMENTO = 15 M, TECIDO EM FIO DE POLIESTER E TUBO INTERNO EM BORRACHA SINTETICA, COM UNIOES ENGATE RAPIDO</t>
  </si>
  <si>
    <t>3148</t>
  </si>
  <si>
    <t>CAIXA DE PASSAGEM METALICA, DE SOBREPOR, COM TAMPA APARAFUSADA, DIMENSOES 15 X 15 X *10* CM</t>
  </si>
  <si>
    <t>CABO ELETRÔNICO CATEGORIA 5E, INSTALADO EM EDIFICAÇÃO RESIDENCIAL - FORNECIMENTO E INSTALAÇÃO. AF_11/2019</t>
  </si>
  <si>
    <t>TOMADA DE REDE RJ45 - FORNECIMENTO E INSTALAÇÃO. AF_11/2019</t>
  </si>
  <si>
    <t>TOMADA RJ45, 8 FIOS, CAT 5E, CONJUNTO MONTADO PARA EMBUTIR 4" X 2" (PLACA + SUPORTE + MODULO)</t>
  </si>
  <si>
    <t>INSTALACOES HIDRO SANITARIAS</t>
  </si>
  <si>
    <t>TUBO PVC, SÉRIE R, ÁGUA PLUVIAL, DN 40 MM, FORNECIDO E INSTALADO EM RAMAL DE ENCAMINHAMENTO. AF_12/2014</t>
  </si>
  <si>
    <t>TUBO PVC, SERIE R, DN 40 MM, PARA ESGOTO OU AGUAS PLUVIAIS PREDIAIS (NBR 5688)</t>
  </si>
  <si>
    <t>TUBO PVC, SERIE R, DN 50 MM, PARA ESGOTO OU AGUAS PLUVIAIS PREDIAIS (NBR 5688)</t>
  </si>
  <si>
    <t>TUBO PVC, SÉRIE R, ÁGUA PLUVIAL, DN 100 MM, FORNECIDO E INSTALADO EM RAMAL DE ENCAMINHAMENTO. AF_12/2014</t>
  </si>
  <si>
    <t>TUBO PVC, SERIE R, DN 100 MM, PARA ESGOTO OU AGUAS PLUVIAIS PREDIAIS (NBR 5688)</t>
  </si>
  <si>
    <t>ADAPTADOR CURTO COM BOLSA E ROSCA PARA REGISTRO, PVC, SOLDÁVEL, DN 25MM X 3/4, INSTALADO EM RAMAL OU SUB-RAMAL DE ÁGUA - FORNECIMENTO E INSTALAÇÃO. AF_12/2014</t>
  </si>
  <si>
    <t>TE, PVC, SOLDÁVEL, DN 40MM, INSTALADO EM PRUMADA DE ÁGUA - FORNECIMENTO E INSTALAÇÃO. AF_12/2014</t>
  </si>
  <si>
    <t>TÊ DE REDUÇÃO, PVC, SOLDÁVEL, DN 50MM X 40MM, INSTALADO EM PRUMADA DE ÁGUA - FORNECIMENTO E INSTALAÇÃO. AF_12/2014</t>
  </si>
  <si>
    <t>JOELHO 90 GRAUS, PVC, SERIE R, ÁGUA PLUVIAL, DN 100 MM, JUNTA ELÁSTICA, FORNECIDO E INSTALADO EM RAMAL DE ENCAMINHAMENTO. AF_12/2014</t>
  </si>
  <si>
    <t>TUBO ACO GALVANIZADO COM COSTURA, CLASSE MEDIA, DN 3", E = *4,05* MM, PESO *8,47* KG/M (NBR 5580)</t>
  </si>
  <si>
    <t>TUBO ACO CARBONO SEM COSTURA 2", E= *3,91* MM, SCHEDULE 40, *5,43* KG/M</t>
  </si>
  <si>
    <t>TUBO ACO CARBONO SEM COSTURA 2 1/2", E = 5,16 MM, SCHEDULE 40 (8,62 KG/M)</t>
  </si>
  <si>
    <t>TUBO ACO CARBONO SEM COSTURA 1 1/4", E= *3,56 MM, SCHEDULE 40, *3,38* KG/M</t>
  </si>
  <si>
    <t>TUBO DE AÇO PRETO SEM COSTURA, CONEXÃO SOLDADA, DN 32 (1 1/4"), INSTALADO EM REDE DE ALIMENTAÇÃO PARA SPRINKLER - FORNECIMENTO E INSTALAÇÃO. AF_10/2020</t>
  </si>
  <si>
    <t>TUBO DE AÇO PRETO SEM COSTURA, CONEXÃO SOLDADA, DN 40 (1 1/2"), INSTALADO EM REDE DE ALIMENTAÇÃO PARA SPRINKLER - FORNECIMENTO E INSTALAÇÃO. AF_10/2020</t>
  </si>
  <si>
    <t>TUBO ACO CARBONO SEM COSTURA 1 1/2", E= *3,68 MM, SCHEDULE 40, 4,05 KG/M</t>
  </si>
  <si>
    <t>TUBO DE AÇO PRETO SEM COSTURA, CONEXÃO SOLDADA, DN 50 (2"), INSTALADO EM REDE DE ALIMENTAÇÃO PARA SPRINKLER - FORNECIMENTO E INSTALAÇÃO. AF_10/2020</t>
  </si>
  <si>
    <t>TUBO DE AÇO PRETO SEM COSTURA, CONEXÃO SOLDADA, DN 65 (2 1/2"), INSTALADO EM REDE DE ALIMENTAÇÃO PARA SPRINKLER - FORNECIMENTO E INSTALAÇÃO. AF_10/2020</t>
  </si>
  <si>
    <t>TUBO DE AÇO GALVANIZADO COM COSTURA, CLASSE MÉDIA, DN 80 (3), CONEXÃO ROSQUEADA, INSTALADO EM RESERVAÇÃO DE ÁGUA DE EDIFICAÇÃO QUE POSSUA RESERVATÓRIO DE FIBRA/FIBROCIMENTO  FORNECIMENTO E INSTALAÇÃO. AF_06/2016</t>
  </si>
  <si>
    <t>TUBO, PPR, DN 25, CLASSE PN 25 INSTALADO EM RAMAL OU SUB-RAMAL DE ÁGUA  FORNECIMENTO E INSTALAÇÃO. AF_06/2015</t>
  </si>
  <si>
    <t>TUBO, PPR, DN 32, CLASSE PN 25,  INSTALADO EM RAMAL DE DISTRIBUIÇÃO DE ÁGUA  FORNECIMENTO E INSTALAÇÃO. AF_06/2015</t>
  </si>
  <si>
    <t>LUVA SOLDÁVEL E COM ROSCA, PVC, SOLDÁVEL, DN 25MM X 3/4, INSTALADO EM RAMAL OU SUB-RAMAL DE ÁGUA - FORNECIMENTO E INSTALAÇÃO. AF_12/2014</t>
  </si>
  <si>
    <t>JOELHO 45 GRAUS, PVC, SERIE R, ÁGUA PLUVIAL, DN 40 MM, JUNTA SOLDÁVEL, FORNECIDO E INSTALADO EM RAMAL DE ENCAMINHAMENTO. AF_12/2014</t>
  </si>
  <si>
    <t>JOELHO, PVC SERIE R, 45 GRAUS, DN 40 MM, PARA ESGOTO OU AGUAS PLUVIAIS PREDIAIS</t>
  </si>
  <si>
    <t>JOELHO 90 GRAUS, PVC, SERIE R, ÁGUA PLUVIAL, DN 50 MM, JUNTA ELÁSTICA, FORNECIDO E INSTALADO EM RAMAL DE ENCAMINHAMENTO. AF_12/2014</t>
  </si>
  <si>
    <t>JOELHO, PVC SERIE R, 90 GRAUS, DN 50 MM, PARA ESGOTO OU AGUAS PLUVIAIS PREDIAIS</t>
  </si>
  <si>
    <t>JOELHO 45 GRAUS, PVC, SERIE R, ÁGUA PLUVIAL, DN 50 MM, JUNTA ELÁSTICA, FORNECIDO E INSTALADO EM RAMAL DE ENCAMINHAMENTO. AF_12/2014</t>
  </si>
  <si>
    <t>JOELHO, PVC SERIE R, 45 GRAUS, DN 50 MM, PARA ESGOTO OU AGUAS PLUVIAIS PREDIAIS</t>
  </si>
  <si>
    <t>JOELHO, PVC SERIE R, 90 GRAUS, DN 100 MM, PARA ESGOTO OU AGUAS PLUVIAIS PREDIAIS</t>
  </si>
  <si>
    <t>JOELHO 45 GRAUS, PVC, SERIE R, ÁGUA PLUVIAL, DN 100 MM, JUNTA ELÁSTICA, FORNECIDO E INSTALADO EM RAMAL DE ENCAMINHAMENTO. AF_12/2014</t>
  </si>
  <si>
    <t>JOELHO, PVC SERIE R, 45 GRAUS, DN 100 MM, PARA ESGOTO OU AGUAS PLUVIAIS PREDIAIS</t>
  </si>
  <si>
    <t>BUCHA DE REDUÇÃO LONGA, PVC, SERIE R, ÁGUA PLUVIAL, DN 50 X 40 MM, JUNTA ELÁSTICA, FORNECIDO E INSTALADO EM RAMAL DE ENCAMINHAMENTO. AF_12/2014</t>
  </si>
  <si>
    <t>BUCHA DE REDUCAO, PVC, LONGA, SERIE R, DN 50 X 40 MM, PARA ESGOTO OU AGUAS PLUVIAIS PREDIAIS</t>
  </si>
  <si>
    <t>JUNÇÃO SIMPLES, PVC, SERIE R, ÁGUA PLUVIAL, DN 40 MM, JUNTA SOLDÁVEL, FORNECIDO E INSTALADO EM RAMAL DE ENCAMINHAMENTO. AF_12/2014</t>
  </si>
  <si>
    <t>JUNCAO SIMPLES, PVC SERIE R, DN 40 X 40 MM, PARA ESGOTO OU AGUAS PLUVIAIS PREDIAIS</t>
  </si>
  <si>
    <t>JUNÇÃO SIMPLES, PVC, SERIE R, ÁGUA PLUVIAL, DN 50 MM, JUNTA ELÁSTICA, FORNECIDO E INSTALADO EM RAMAL DE ENCAMINHAMENTO. AF_12/2014</t>
  </si>
  <si>
    <t>JUNCAO SIMPLES, PVC SERIE R, DN 50 X 50 MM, PARA ESGOTO OU AGUAS PLUVIAIS PREDIAIS</t>
  </si>
  <si>
    <t>JUNÇÃO SIMPLES, PVC, SERIE R, ÁGUA PLUVIAL, DN 100 X 100 MM, JUNTA ELÁSTICA, FORNECIDO E INSTALADO EM RAMAL DE ENCAMINHAMENTO. AF_12/2014</t>
  </si>
  <si>
    <t>JUNCAO SIMPLES, PVC SERIE R, DN 100 X 100 MM, PARA ESGOTO OU AGUAS PLUVIAIS PREDIAIS</t>
  </si>
  <si>
    <t>SPRINKLER TIPO PENDENTE, 68 °C, UNIÃO POR ROSCA DN 15 (1/2") - FORNECIMENTO E INSTALAÇÃO. AF_10/2020</t>
  </si>
  <si>
    <t>SPRINKLER TIPO PENDENTE, 68 GRAUS CELSIUS (BULBO VERMELHO), ACABAMENTO NATURAL, 1/2" - 15 MM</t>
  </si>
  <si>
    <t>CONECTOR MACHO, PPR, 25 X 1/2'', CLASSE PN 25, INSTALADO EM RAMAL OU SUB-RAMAL DE ÁGUA   FORNECIMENTO E INSTALAÇÃO . AF_06/2015</t>
  </si>
  <si>
    <t>CONECTOR / ADAPTADOR MACHO, COM INSERTO METALICO, PPR, DN 25 MM X 1/2", PARA AGUA QUENTE E FRIA PREDIAL</t>
  </si>
  <si>
    <t>JOELHO 90 GRAUS, PPR, DN 25 MM, CLASSE PN 25, INSTALADO EM RAMAL DE DISTRIBUIÇÃO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</si>
  <si>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</si>
  <si>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</si>
  <si>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JOELHO 90 GRAUS, PPR, DN 32 MM, CLASSE PN 25,  INSTALADO EM RESERVAÇÃO DE ÁGUA DE EDIFICAÇÃO QUE POSSUA RESERVATÓRIO DE FIBRA/FIBROCIMENTO  FORNECIMENTO E INSTALAÇÃO. AF_06/2016</t>
  </si>
  <si>
    <t>TÊ, EM AÇO, CONEXÃO SOLDADA, DN 50 (2"), INSTALADO EM PRUMADAS - FORNECIMENTO E INSTALAÇÃO. AF_10/2020</t>
  </si>
  <si>
    <t>TE 90 GRAUS EM ACO CARBONO, SOLDAVEL, PRESSAO 3.000 LBS, DN 2"</t>
  </si>
  <si>
    <t>TÊ, EM AÇO, CONEXÃO SOLDADA, DN 65 (2 1/2"), INSTALADO EM PRUMADAS - FORNECIMENTO E INSTALAÇÃO. AF_10/2020</t>
  </si>
  <si>
    <t>TE 90 GRAUS EM ACO CARBONO, SOLDAVEL, PRESSAO 3.000 LBS, DN 2 1/2"</t>
  </si>
  <si>
    <t>CURVA 90 GRAUS, EM AÇO, CONEXÃO SOLDADA, DN 32 (1 1/4"), INSTALADO EM REDE DE ALIMENTAÇÃO PARA HIDRANTE - FORNECIMENTO E INSTALAÇÃO. AF_10/2020</t>
  </si>
  <si>
    <t>CURVA 90 GRAUS EM ACO CARBONO, RAIO CURTO, SOLDAVEL, PRESSAO 3.000 LBS, DN 1 1/4"</t>
  </si>
  <si>
    <t>TÊ, EM AÇO, CONEXÃO SOLDADA, DN 32 (1 1/4"), INSTALADO EM REDE DE ALIMENTAÇÃO PARA HIDRANTE - FORNECIMENTO E INSTALAÇÃO. AF_10/2020</t>
  </si>
  <si>
    <t>TE 90 GRAUS EM ACO CARBONO, SOLDAVEL, PRESSAO 3.000 LBS, DN 1 1/4"</t>
  </si>
  <si>
    <t>TÊ, EM AÇO, CONEXÃO SOLDADA, DN 40 (1 1/2"), INSTALADO EM REDE DE ALIMENTAÇÃO PARA HIDRANTE - FORNECIMENTO E INSTALAÇÃO. AF_10/2020</t>
  </si>
  <si>
    <t>TE 90 GRAUS EM ACO CARBONO, SOLDAVEL, PRESSAO 3.000 LBS, DN 1 1/2"</t>
  </si>
  <si>
    <t>RALO SIFONADO, PVC, DN 100 X 40 MM, JUNTA SOLDÁVEL, FORNECIDO E INSTALADO EM RAMAIS DE ENCAMINHAMENTO DE ÁGUA PLUVIAL. AF_12/2014</t>
  </si>
  <si>
    <t>PARAFUSO NIQUELADO 3 1/2" COM ACABAMENTO CROMADO PARA FIXAR PECA SANITARIA, INCLUI PORCA CEGA, ARRUELA E BUCHA DE NYLON TAMANHO S-8</t>
  </si>
  <si>
    <t>REJUNTE EPOXI, QUALQUER COR</t>
  </si>
  <si>
    <t>VÁLVULA EM METAL CROMADO 1.1/2 X 1.1/2 PARA TANQUE OU LAVATÓRIO, COM OU SEM LADRÃO - FORNECIMENTO E INSTALAÇÃO. AF_01/2020</t>
  </si>
  <si>
    <t>SIFÃO DO TIPO GARRAFA EM METAL CROMADO 1 X 1.1/2 - FORNECIMENTO E INSTALAÇÃO. AF_01/2020</t>
  </si>
  <si>
    <t>ENGATE FLEXÍVEL EM INOX, 1/2  X 30CM - FORNECIMENTO E INSTALAÇÃO. AF_01/2020</t>
  </si>
  <si>
    <t>ENGATE FLEXÍVEL EM INOX, 1/2  X 40CM - FORNECIMENTO E INSTALAÇÃO. AF_01/2020</t>
  </si>
  <si>
    <t>MASSA PLASTICA PARA MARMORE/GRANITO</t>
  </si>
  <si>
    <t>MARMORISTA/GRANITEIRO COM ENCARGOS COMPLEMENTARES</t>
  </si>
  <si>
    <t>CUBA DE EMBUTIR OVAL EM LOUÇA BRANCA, 35 X 50CM OU EQUIVALENTE - FORNECIMENTO E INSTALAÇÃO. AF_01/2020</t>
  </si>
  <si>
    <t>LAVATÓRIO LOUÇA BRANCA SUSPENSO, 29,5 X 39CM OU EQUIVALENTE, PADRÃO POPULAR - FORNECIMENTO E INSTALAÇÃO. AF_01/2020</t>
  </si>
  <si>
    <t>TORNEIRA CROMADA DE MESA, 1/2 OU 3/4, PARA LAVATÓRIO, PADRÃO MÉDIO - FORNECIMENTO E INSTALAÇÃO. AF_01/2020</t>
  </si>
  <si>
    <t>VASO SANITÁRIO SIFONADO COM CAIXA ACOPLADA LOUÇA BRANCA - PADRÃO MÉDIO, INCLUSO ENGATE FLEXÍVEL EM METAL CROMADO, 1/2  X 40CM - FORNECIMENTO E INSTALAÇÃO. AF_01/2020</t>
  </si>
  <si>
    <t>CONJUNTO DE LIGACAO PARA BACIA SANITARIA AJUSTAVEL, EM PLASTICO BRANCO, COM TUBO, CANOPLA E ESPUDE</t>
  </si>
  <si>
    <t>VASO SANITARIO SIFONADO CONVENCIONAL PARA PCD SEM FURO FRONTAL COM  LOUÇA BRANCA SEM ASSENTO -  FORNECIMENTO E INSTALAÇÃO. AF_01/2020</t>
  </si>
  <si>
    <t>VASO SANITARIO SIFONADO CONVENCIONAL PARA PCD SEM FURO FRONTAL COM LOUÇA BRANCA SEM ASSENTO, INCLUSO CONJUNTO DE LIGAÇÃO PARA BACIA SANITÁRIA AJUSTÁVEL - FORNECIMENTO E INSTALAÇÃO. AF_01/2020</t>
  </si>
  <si>
    <t>0,0996000</t>
  </si>
  <si>
    <t>SABONETEIRA PLASTICA TIPO DISPENSER PARA SABONETE LIQUIDO COM RESERVATORIO 800 A 1500 ML, INCLUSO FIXAÇÃO. AF_01/2020</t>
  </si>
  <si>
    <t>SABONETEIRA PLASTICA TIPO DISPENSER PARA SABONETE LIQUIDO COM RESERVATORIO 800 A 1500 ML</t>
  </si>
  <si>
    <t>MANOPLA E CANOPLA CROMADA  FORNECIMENTO E INSTALAÇÃO. AF_01/2020</t>
  </si>
  <si>
    <t>MICTÓRIO SIFONADO LOUÇA BRANCA  PADRÃO MÉDIO  FORNECIMENTO E INSTALAÇÃO. AF_01/2020</t>
  </si>
  <si>
    <t>CHUVEIRO COMUM EM PLASTICO BRANCO, COM CANO, 3 TEMPERATURAS, 5500 W (110/220 V)</t>
  </si>
  <si>
    <t>BARRA DE APOIO RETA, EM ACO INOX POLIDO, COMPRIMENTO 70 CM,  FIXADA NA PAREDE - FORNECIMENTO E INSTALAÇÃO. AF_01/2020</t>
  </si>
  <si>
    <t>BARRA DE APOIO RETA, EM ACO INOX POLIDO, COMPRIMENTO 70CM, DIAMETRO MINIMO 3 CM</t>
  </si>
  <si>
    <t>BARRA DE APOIO RETA, EM ACO INOX POLIDO, COMPRIMENTO 80 CM,  FIXADA NA PAREDE - FORNECIMENTO E INSTALAÇÃO. AF_01/2020</t>
  </si>
  <si>
    <t>BARRA DE APOIO RETA, EM ACO INOX POLIDO, COMPRIMENTO 80CM, DIAMETRO MINIMO 3 CM</t>
  </si>
  <si>
    <t>REGISTRO DE PRESSÃO BRUTO, LATÃO,  ROSCÁVEL, 3/4, FORNECIDO E INSTALADO EM RAMAL DE ÁGUA. AF_12/2014</t>
  </si>
  <si>
    <t>SERVICOS DIVERSOS</t>
  </si>
  <si>
    <t>PAREDES/PAINEIS</t>
  </si>
  <si>
    <t>ALVENARIA DE VEDAÇÃO DE BLOCOS CERÂMICOS FURADOS NA VERTICAL DE 14X19X39CM (ESPESSURA 14CM) DE PAREDES COM ÁREA LÍQUIDA MENOR QUE 6M² SEM VÃOS E ARGAMASSA DE ASSENTAMENTO COM PREPARO EM BETONEIRA. AF_06/2014</t>
  </si>
  <si>
    <t>TELA DE ACO SOLDADA GALVANIZADA/ZINCADA PARA ALVENARIA, FIO  D = *1,20 A 1,70* MM, MALHA 15 X 15 MM, (C X L) *50 X 12* CM</t>
  </si>
  <si>
    <t>BLOCO CERAMICO DE VEDACAO COM FUROS NA VERTICAL, 14 X 19 X 39 CM - 4,5 MPA (NBR 15270)</t>
  </si>
  <si>
    <t>2,1060000</t>
  </si>
  <si>
    <t>39419</t>
  </si>
  <si>
    <t>39422</t>
  </si>
  <si>
    <t>39431</t>
  </si>
  <si>
    <t>2,5027000</t>
  </si>
  <si>
    <t>39434</t>
  </si>
  <si>
    <t>1,0327000</t>
  </si>
  <si>
    <t>39435</t>
  </si>
  <si>
    <t>20,0077000</t>
  </si>
  <si>
    <t>39443</t>
  </si>
  <si>
    <t>PINTURAS</t>
  </si>
  <si>
    <t>APLICAÇÃO MANUAL DE FUNDO SELADOR ACRÍLICO EM PANOS COM PRESENÇA DE VÃOS DE EDIFÍCIOS DE MÚLTIPLOS PAVIMENTOS. AF_06/2014</t>
  </si>
  <si>
    <t>GL</t>
  </si>
  <si>
    <t>APLICAÇÃO MANUAL DE TINTA LÁTEX ACRÍLICA EM SUPERFÍCIES INTERNAS DE SACADA DE EDIFÍCIOS DE MÚLTIPLOS PAVIMENTOS, DUAS DEMÃOS. AF_11/2016</t>
  </si>
  <si>
    <t>!EM PROCESSO DE DESATIVACAO!MASSA ACRILICA PARA PAREDES INTERIOR/EXTERIOR</t>
  </si>
  <si>
    <t>APLICAÇÃO MANUAL DE MASSA ACRÍLICA EM SUPERFÍCIES INTERNAS DE SACADA DE EDIFÍCIOS DE MÚLTIPLOS PAVIMENTOS, UMA DEMÃO. AF_05/2017</t>
  </si>
  <si>
    <t>0,2606000</t>
  </si>
  <si>
    <t>PISOS</t>
  </si>
  <si>
    <t>REJUNTE CIMENTICIO, QUALQUER COR</t>
  </si>
  <si>
    <t>AZULEJISTA OU LADRILHISTA COM ENCARGOS COMPLEMENTARES</t>
  </si>
  <si>
    <t>ARGAMASSA COLANTE TIPO AC III</t>
  </si>
  <si>
    <t>REVESTIMENTO CERÂMICO PARA PISO COM PLACAS TIPO PORCELANATO DE DIMENSÕES 60X60 CM APLICADA EM AMBIENTES DE ÁREA MAIOR QUE 10 M². AF_06/2014</t>
  </si>
  <si>
    <t>ARGAMASSA USINADA AUTOADENSAVEL E AUTONIVELANTE PARA CONTRAPISO, INCLUI BOMBEAMENTO</t>
  </si>
  <si>
    <t>REVESTIMENTO E TRATAMENTO DE SUPERFICIES</t>
  </si>
  <si>
    <t>CHAPISCO APLICADO EM ALVENARIAS E ESTRUTURAS DE CONCRETO INTERNAS, COM COLHER DE PEDREIRO.  ARGAMASSA TRAÇO 1:3 COM PREPARO MANUAL. AF_06/2014</t>
  </si>
  <si>
    <t>ARGAMASSA TRAÇO 1:3 (EM VOLUME DE CIMENTO E AREIA GROSSA ÚMIDA) PARA CHAPISCO CONVENCIONAL, PREPARO MANUAL. AF_08/2019</t>
  </si>
  <si>
    <t>GESSEIRO COM ENCARGOS COMPLEMENTARES</t>
  </si>
  <si>
    <t>ARGAMASSA INDUSTRIALIZADA PARA REVESTIMENTOS, MISTURA E PROJEÇÃO DE 1,5 M³/H DE ARGAMASSA. AF_08/2019</t>
  </si>
  <si>
    <t>EMBOÇO, PARA RECEBIMENTO DE CERÂMICA, EM ARGAMASSA TRAÇO 1:2:8, PREPARO MECÂNICO COM BETONEIRA 400L, APLICADO MANUALMENTE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</si>
  <si>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</si>
  <si>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REVESTIMENTO EM CERAMICA ESMALTADA EXTRA, PEI MENOR OU IGUAL A 3, FORMATO MENOR OU IGUAL A 2025 CM2</t>
  </si>
  <si>
    <t>REVESTIMENTO CERÂMICO PARA PAREDES INTERNAS COM PLACAS TIPO ESMALTADA EXTRA  DE DIMENSÕES 33X45 CM APLICADAS EM AMBIENTES DE ÁREA MAIOR QUE 5 M² A MEIA ALTURA DAS PAREDES. AF_06/2014</t>
  </si>
  <si>
    <t>SERVICOS PRELIMINARES</t>
  </si>
  <si>
    <t>DEMOLIÇÃO DE ARGAMASSAS, DE FORMA MANUAL, SEM REAPROVEITAMENTO. AF_12/2017</t>
  </si>
  <si>
    <t>DEMOLIÇÃO DE REVESTIMENTO CERÂMICO, DE FORMA MANUAL, SEM REAPROVEITAMENTO. AF_12/2017</t>
  </si>
  <si>
    <t>REMOÇÃO DE CHAPAS E PERFIS DE DRYWALL, DE FORMA MANUAL, SEM REAPROVEITAMENTO. AF_12/2017</t>
  </si>
  <si>
    <t>REMOÇÃO DE FORROS DE DRYWALL, PVC E FIBROMINERAL, DE FORMA MANUAL, SEM REAPROVEITAMENTO. AF_12/2017</t>
  </si>
  <si>
    <t>REMOÇÃO DE FORRO DE GESSO, DE FORMA MANUAL, SEM REAPROVEITAMENTO. AF_12/2017</t>
  </si>
  <si>
    <t>REMOÇÃO DE PISO DE MADEIRA (ASSOALHO E BARROTE), DE FORMA MANUAL, SEM REAPROVEITAMENTO. AF_12/2017</t>
  </si>
  <si>
    <t>REMOÇÃO DE PORTAS, DE FORMA MANUAL, SEM REAPROVEITAMENTO. AF_12/2017</t>
  </si>
  <si>
    <t>REMOÇÃO DE INTERRUPTORES/TOMADAS ELÉTRICAS,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</si>
  <si>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</si>
  <si>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</si>
  <si>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</si>
  <si>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</si>
  <si>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TRANPORTES, CARGAS E DESCARGAS</t>
  </si>
  <si>
    <t>TRANSPORTE COM CAMINHÃO BASCULANTE DE 6 M³, EM VIA URBANA EM LEITO NATURAL (UNIDADE: M3XKM). AF_07/2020</t>
  </si>
  <si>
    <t>ALIMENTACAO - HORISTA (COLETADO CAIXA)</t>
  </si>
  <si>
    <t>TRANSPORTE - HORISTA (COLETADO CAIXA)</t>
  </si>
  <si>
    <t>EXAMES - HORISTA (COLETADO CAIXA)</t>
  </si>
  <si>
    <t>SEGURO - HORISTA (COLETADO CAIXA)</t>
  </si>
  <si>
    <t>FERRAMENTAS - FAMILIA SERVENTE - HORISTA (ENCARGOS COMPLEMENTARES - COLETADO CAIXA)</t>
  </si>
  <si>
    <t>FERRAMENTAS - FAMILIA ELETRICISTA - HORISTA (ENCARGOS COMPLEMENTARES - COLETADO CAIXA)</t>
  </si>
  <si>
    <t>CURSO DE CAPACITAÇÃO PARA AUXILIAR DE ELETRICISTA (ENCARGOS COMPLEMENTARES) - HORISTA</t>
  </si>
  <si>
    <t>FERRAMENTAS - FAMILIA ENCANADOR - HORISTA (ENCARGOS COMPLEMENTARES - COLETADO CAIXA)</t>
  </si>
  <si>
    <t>CURSO DE CAPACITAÇÃO PARA AUXILIAR DE ENCANADOR OU BOMBEIRO HIDRÁULICO (ENCARGOS COMPLEMENTARES) - HORISTA</t>
  </si>
  <si>
    <t>CURSO DE CAPACITAÇÃO PARA ELETRICISTA (ENCARGOS COMPLEMENTARES) - HORISTA</t>
  </si>
  <si>
    <t>CURSO DE CAPACITAÇÃO PARA ENCANADOR OU BOMBEIRO HIDRÁULICO (ENCARGOS COMPLEMENTARES) - HORISTA</t>
  </si>
  <si>
    <t>SERVENTE DE OBRAS</t>
  </si>
  <si>
    <t>CURSO DE CAPACITAÇÃO PARA SERVENTE (ENCARGOS COMPLEMENTARES) - HORISTA</t>
  </si>
  <si>
    <t>MESTRE DE OBRAS COM ENCARGOS COMPLEMENTARES</t>
  </si>
  <si>
    <t>TRANSPORTE - MENSALISTA (COLETADO CAIXA)</t>
  </si>
  <si>
    <t>ALIMENTACAO - MENSALISTA (COLETADO CAIXA)</t>
  </si>
  <si>
    <t>EXAMES - MENSALISTA (COLETADO CAIXA)</t>
  </si>
  <si>
    <t>SEGURO - MENSALISTA (COLETADO CAIXA)</t>
  </si>
  <si>
    <t>FERRAMENTAS - FAMILIA ALMOXARIFE - MENSALISTA (ENCARGOS COMPLEMENTARES - COLETADO CAIXA)</t>
  </si>
  <si>
    <t>EPI - FAMILIA ALMOXARIFE - MENSALISTA (ENCARGOS COMPLEMENTARES - COLETADO CAIXA)</t>
  </si>
  <si>
    <t>FERRAMENTAS - FAMILIA ENGENHEIRO CIVIL - MENSALISTA (ENCARGOS COMPLEMENTARES - COLETADO CAIXA)</t>
  </si>
  <si>
    <t>EPI - FAMILIA ENGENHEIRO CIVIL - MENSALISTA (ENCARGOS COMPLEMENTARES - COLETADO CAIXA)</t>
  </si>
  <si>
    <t>CURSO DE CAPACITAÇÃO PARA ENGENHEIRO CIVIL DE OBRA PLENO (ENCARGOS COMPLEMENTARES) - MENSALISTA</t>
  </si>
  <si>
    <t>FERRAMENTAS - FAMILIA ENCARREGADO GERAL - MENSALISTA (ENCARGOS COMPLEMENTARES - COLETADO CAIXA)</t>
  </si>
  <si>
    <t>EPI - FAMILIA ENCARREGADO GERAL - MENSALISTA (ENCARGOS COMPLEMENTARES - COLETADO CAIXA)</t>
  </si>
  <si>
    <t>CURSO DE CAPACITAÇÃO PARA MESTRE DE OBRAS (ENCARGOS COMPLEMENTARES) - MENSALISTA</t>
  </si>
  <si>
    <t>TÉCNICO EM SEGURANÇA DO TRABALHO COM ENCARGOS COMPLEMENTARES</t>
  </si>
  <si>
    <t>CURSO DE CAPACITAÇÃO PARA TÉCNICO EM SEGURANÇA DO TRABALHO (ENCARGOS COMPLEMENTARES) - MENSALISTA</t>
  </si>
  <si>
    <t>CURSO DE CAPACITAÇÃO PARA SERVENTE DE OBRAS (ENCARGOS COMPLEMENTARES) - MENSALISTA</t>
  </si>
  <si>
    <t>FERRAMENTAS - FAMILIA SERVENTE - MENSALISTA (ENCARGOS COMPLEMENTARES - COLETADO CAIXA)</t>
  </si>
  <si>
    <t>SERVENTE DE OBRAS COM ENCARGOS COMPLEMENTARES</t>
  </si>
  <si>
    <t xml:space="preserve">UN    </t>
  </si>
  <si>
    <t xml:space="preserve">M     </t>
  </si>
  <si>
    <t>JUNCAO DUPLA, PVC SOLDAVEL, DN 100 X 100 X 100 MM , SERIE NORMAL PARA ESGOTO PREDIAL</t>
  </si>
  <si>
    <t>LUMINARIA DE EMBUTIR EM CHAPA DE ACO PARA 4 LAMPADAS FLUORESCENTES DE 14 W *60 X 60 CM* ALETADA (NAO INCLUI REATOR E LAMPADAS)</t>
  </si>
  <si>
    <t>COMPOSIÇÕES ESPECÍFICAS</t>
  </si>
  <si>
    <t>COM INSUMOS DE COTAÇOES E/OU SINAPI</t>
  </si>
  <si>
    <t>COM COEFICIENTES BASE SINAPI E/OU OUTRAS FONTES MERCADO</t>
  </si>
  <si>
    <t>TIPO</t>
  </si>
  <si>
    <t>COEF.</t>
  </si>
  <si>
    <t>CUSTO</t>
  </si>
  <si>
    <t>MATERIAL</t>
  </si>
  <si>
    <t>MÃO OBRA</t>
  </si>
  <si>
    <t>TOTAL</t>
  </si>
  <si>
    <t>ESPECÍFICA</t>
  </si>
  <si>
    <t>SINAPI</t>
  </si>
  <si>
    <t>MERCADO</t>
  </si>
  <si>
    <t>PÇ</t>
  </si>
  <si>
    <t>ART</t>
  </si>
  <si>
    <t>CREA</t>
  </si>
  <si>
    <t>SINAPI  97633</t>
  </si>
  <si>
    <t>SINAPI  97663</t>
  </si>
  <si>
    <t>SINAPI 87473</t>
  </si>
  <si>
    <t>SINAPI 87878</t>
  </si>
  <si>
    <t>SINAPI 95625</t>
  </si>
  <si>
    <t>SINAPI 100860</t>
  </si>
  <si>
    <t>SINAPI 86901</t>
  </si>
  <si>
    <t>SINAPI 100858</t>
  </si>
  <si>
    <t>SINAPI 100868</t>
  </si>
  <si>
    <t>SINAPI 93567</t>
  </si>
  <si>
    <t>SINAPI 94295</t>
  </si>
  <si>
    <t>SINAPI 100321</t>
  </si>
  <si>
    <t>SINAPI 97638</t>
  </si>
  <si>
    <t>SINAPI 97641</t>
  </si>
  <si>
    <t>SINAPI 97643</t>
  </si>
  <si>
    <t>SINAPI 97662</t>
  </si>
  <si>
    <t>SINAPI 97660</t>
  </si>
  <si>
    <t>SINAPI 87561</t>
  </si>
  <si>
    <t>SINAPI 88411</t>
  </si>
  <si>
    <t>SINAPI 96129</t>
  </si>
  <si>
    <t>SINAPI 91315</t>
  </si>
  <si>
    <t>SINAPI 91313</t>
  </si>
  <si>
    <t>SINAPI 91314</t>
  </si>
  <si>
    <t>SINAPI 95472</t>
  </si>
  <si>
    <t>SINAPI 89970</t>
  </si>
  <si>
    <t>SINAPI 100856</t>
  </si>
  <si>
    <t>SINAPI 86904</t>
  </si>
  <si>
    <t>SINAPI 86881</t>
  </si>
  <si>
    <t>SINAPI 86877</t>
  </si>
  <si>
    <t>SINAPI 86886</t>
  </si>
  <si>
    <t>SINAPI 95547</t>
  </si>
  <si>
    <t>Mictório c/metais conf.especificação</t>
  </si>
  <si>
    <t>SINAPI 101908</t>
  </si>
  <si>
    <t xml:space="preserve">PRÓPRIA </t>
  </si>
  <si>
    <t>un</t>
  </si>
  <si>
    <t>Fita veda rosca em rolos de 18 mm X 50 m (L X C)</t>
  </si>
  <si>
    <t>Auxiliar de encanador c/encargos complementares</t>
  </si>
  <si>
    <t>h</t>
  </si>
  <si>
    <t>Encanador c/encargos complementares</t>
  </si>
  <si>
    <t>SINAPI 92646</t>
  </si>
  <si>
    <t>SINAPI 92650</t>
  </si>
  <si>
    <t>SINAPI 97482</t>
  </si>
  <si>
    <t>Condulete múltiplo Ø1"c/tampa de condulete cega</t>
  </si>
  <si>
    <t>Auxiliar de eletricista c/encargos complementares</t>
  </si>
  <si>
    <t>Eletricista c/encargos complementares</t>
  </si>
  <si>
    <t>Detector óptico de fumaça</t>
  </si>
  <si>
    <t>SINAPI 96636</t>
  </si>
  <si>
    <t>SINAPI 89508</t>
  </si>
  <si>
    <t>SINAPI 89509</t>
  </si>
  <si>
    <t>SINAPI 89512</t>
  </si>
  <si>
    <t>SINAPI 96650</t>
  </si>
  <si>
    <t>SINAPI 96665</t>
  </si>
  <si>
    <t>SINAPI 96640</t>
  </si>
  <si>
    <t>SINAPI 89561</t>
  </si>
  <si>
    <t>SINAPI 89563</t>
  </si>
  <si>
    <t>SINAPI 89567</t>
  </si>
  <si>
    <t>SINAPI 89518</t>
  </si>
  <si>
    <t>SINAPI 89520</t>
  </si>
  <si>
    <t>SINAPI 89516</t>
  </si>
  <si>
    <t>SINAPI 89531</t>
  </si>
  <si>
    <t>SINAPI 89529</t>
  </si>
  <si>
    <t>SINAPI 89623</t>
  </si>
  <si>
    <t>SINAPI 89626</t>
  </si>
  <si>
    <t>SINAPI 89482</t>
  </si>
  <si>
    <t>SINAPI 89495</t>
  </si>
  <si>
    <t>2.1.16</t>
  </si>
  <si>
    <t>SINAPI 97644</t>
  </si>
  <si>
    <t>2.1.17</t>
  </si>
  <si>
    <t>BDI NÃO DESONERADO</t>
  </si>
  <si>
    <t>BDI:</t>
  </si>
  <si>
    <t>BASE DE PREÇO:</t>
  </si>
  <si>
    <t>Limpeza final da obra</t>
  </si>
  <si>
    <t>8.1</t>
  </si>
  <si>
    <t>8.2</t>
  </si>
  <si>
    <t>RESUMO</t>
  </si>
  <si>
    <t>Luminária de Embutir - completa com quatro lâmpadas tubulares led T8 (4x9 - 10W), instalação em forro com modelação de 625x625mm,  com refletor parabólico e aletas de alumínio anodizado brilhante de alta refletância e alta pureza 99,85%. Soquete tipo push-in G-13 de engate rápido, rotor de segurança em policarbonato e contatos em bronze fosforoso, completa. Certificação CE, Garantia de mínima de 02 Anos. .</t>
  </si>
  <si>
    <t>SINAPI 97605</t>
  </si>
  <si>
    <t>SINAPI 91953</t>
  </si>
  <si>
    <t>SINAPI 91959</t>
  </si>
  <si>
    <t>SINAPI 91979</t>
  </si>
  <si>
    <t>SINAPI 97595</t>
  </si>
  <si>
    <t>SINAPI 91992</t>
  </si>
  <si>
    <t>SINAPI 91961</t>
  </si>
  <si>
    <t>SINAPI 95789</t>
  </si>
  <si>
    <t>SINAPI 95796</t>
  </si>
  <si>
    <t>SINAPI 95802</t>
  </si>
  <si>
    <t>SINAPI 98307</t>
  </si>
  <si>
    <t>SINAPI 98294</t>
  </si>
  <si>
    <t>Rack aberto 44/45u x 19" x 600mm - completo e, conforme descrito no memorial descritivo  - ref. Furukawa ou equivalente técnico</t>
  </si>
  <si>
    <t>Insumo</t>
  </si>
  <si>
    <t>Eletrocalha metálica perfurada 150x75mm com tampa</t>
  </si>
  <si>
    <t xml:space="preserve">Perfilado 76x38mm </t>
  </si>
  <si>
    <t>SINAPI 96971</t>
  </si>
  <si>
    <t>SINAPI 88476</t>
  </si>
  <si>
    <t>SINAPI 87553</t>
  </si>
  <si>
    <t>SINAPI 87275</t>
  </si>
  <si>
    <t>Fornecimento e instalação de paredes de gesso acartonado RU dupla (interna e externa), montante de 75 mm. com montantes na horizontal e vertical</t>
  </si>
  <si>
    <t>SINAPI 91993</t>
  </si>
  <si>
    <t>7.7.18</t>
  </si>
  <si>
    <t>4.23</t>
  </si>
  <si>
    <t>COT 045 -1</t>
  </si>
  <si>
    <t xml:space="preserve">Canaleta de alumínio dupla de 73x25mm de encaixe (Pintura eletrostática branca). Ref. Dutotec ou equivalente </t>
  </si>
  <si>
    <t xml:space="preserve">Tampa canaleta de alumínio dupla de 73x25mm  de encaixe (Pintura eletrostática branca). Ref. Dutotec ou equivalente </t>
  </si>
  <si>
    <t>COT 045 -2</t>
  </si>
  <si>
    <t>COT 045 -3</t>
  </si>
  <si>
    <t>COT 045 -4</t>
  </si>
  <si>
    <t>COT 045 -5</t>
  </si>
  <si>
    <t>COT 047</t>
  </si>
  <si>
    <t>2.8.19</t>
  </si>
  <si>
    <t>Lavatório PNE conf.especificação</t>
  </si>
  <si>
    <t>Dispenser papel interfolheada, lalekla ref. kimberly-clark ou sim. em plastico abs</t>
  </si>
  <si>
    <t>Espelho de cristal, esp. 4mm com moldura de alumínio</t>
  </si>
  <si>
    <t>Disjuntor monopolar DR 20 A</t>
  </si>
  <si>
    <t>JUNÇÃO DUPLA DE PVC, SÉRIE NORMAL, PARA ESGOTO PREDIAL, DN 100 X 100 X 100 MM, INSTALADA EM DRENO  - FORNECIMENTO E INSTALAÇÃO. AF_07/2021</t>
  </si>
  <si>
    <t>CONTRAPISO COM ARGAMASSA AUTONIVELANTE, APLICADO SOBRE LAJE, ADERIDO, ESPESSURA 2CM. AF_07/2021</t>
  </si>
  <si>
    <t>m2</t>
  </si>
  <si>
    <t>SBC</t>
  </si>
  <si>
    <t>Divisória de granito, cinza andorinha, espessura 3 cm</t>
  </si>
  <si>
    <t>Argamassa pronta Quartizolit p/mármore/granito</t>
  </si>
  <si>
    <t>Parafuso p/mármore/granito mod.561</t>
  </si>
  <si>
    <t>Cantoneira divisória mármore/granito em aço inóx</t>
  </si>
  <si>
    <t>Mármorista c/encargos complementares</t>
  </si>
  <si>
    <t>Servente c/encargos complementares</t>
  </si>
  <si>
    <t>Fornecimento e instalação de porta interna de madeira, semi oca, 70x210cm, uma folha de abrir, com marco, batentes, vistas de acabamento, dobradiças, fechadura .</t>
  </si>
  <si>
    <t>Fornecimento e instalação de porta interna de madeira, semi oca, 80x210cm, uma folha de abrir, com marco, batentes, vistas de acabamento, dobradiças, fechadura .</t>
  </si>
  <si>
    <t>Fornecimento e instalação de porta interna de madeira, semi oca, 100x210cm, uma folha de abrir, com marco, batentes, vistas de acabamento, dobradiças, fechadura .</t>
  </si>
  <si>
    <t>SINAPI 86932</t>
  </si>
  <si>
    <t>SINAPI 97640</t>
  </si>
  <si>
    <t>COTAÇÃO</t>
  </si>
  <si>
    <t>2.8.20</t>
  </si>
  <si>
    <t>Hidrantes</t>
  </si>
  <si>
    <t>Conjunto: abrigo 75 x 45 x 17cm, válvula globo 45º, mangueira de incêndio, adaptador storz, esguicho e chave storz. Diâmetro 2 1/2''</t>
  </si>
  <si>
    <t>3.3.13</t>
  </si>
  <si>
    <t>3.3.14</t>
  </si>
  <si>
    <t>3.3.15</t>
  </si>
  <si>
    <t>3.3.16</t>
  </si>
  <si>
    <t>3.3.17</t>
  </si>
  <si>
    <t>3.3.18</t>
  </si>
  <si>
    <t>3.3.19</t>
  </si>
  <si>
    <t>3.3.20</t>
  </si>
  <si>
    <t>3.3.21</t>
  </si>
  <si>
    <t>3.3.22</t>
  </si>
  <si>
    <t>3.3.23</t>
  </si>
  <si>
    <t>3.3.24</t>
  </si>
  <si>
    <t>3.3.25</t>
  </si>
  <si>
    <t>3.3.26</t>
  </si>
  <si>
    <t>3.3.27</t>
  </si>
  <si>
    <t>3.3.28</t>
  </si>
  <si>
    <t>3.3.29</t>
  </si>
  <si>
    <t>3.3.30</t>
  </si>
  <si>
    <t>3.3.31</t>
  </si>
  <si>
    <t>Abraçadeira galvanizada tipo gota para tubulação aço carbono preto roscado sem costura NBR 5580 -Diâmetro 1 1/4''</t>
  </si>
  <si>
    <t>Abraçadeira galvanizada tipo gota para tubulação aço carbono preto roscado sem costura NBR 5580 -Diâmetro 1 1/2''</t>
  </si>
  <si>
    <t>Abraçadeira galvanizada  tipo gota para tubulação aço carbono preto roscado sem costura NBR 5580 - Diâmetro 2''</t>
  </si>
  <si>
    <t xml:space="preserve">Abraçadeira galvanizada  tipo gota para tubulação aço carbono preto roscado sem costura NBR 5580 - Diâmetro 2 1/2'' </t>
  </si>
  <si>
    <t xml:space="preserve">Abraçadeira galvanizada  tipo gota para tubulação aço carbono preto roscado sem costura NBR 5580 - Diâmetro 3'' </t>
  </si>
  <si>
    <t>Barra roscada Zincada 1/4''</t>
  </si>
  <si>
    <t>Conjunto cone e jaqueta 1/4''</t>
  </si>
  <si>
    <t>Conjunto porca e arruela lisa galvanizados  1/4''</t>
  </si>
  <si>
    <t>3.4</t>
  </si>
  <si>
    <t>3.4.1</t>
  </si>
  <si>
    <t>3.4.2</t>
  </si>
  <si>
    <t>3.4.3</t>
  </si>
  <si>
    <t>3.4.4</t>
  </si>
  <si>
    <t>3.4.5</t>
  </si>
  <si>
    <t>3.4.6</t>
  </si>
  <si>
    <t>3.4.7</t>
  </si>
  <si>
    <t>3.4.8</t>
  </si>
  <si>
    <t>3.4.9</t>
  </si>
  <si>
    <t>3.4.10</t>
  </si>
  <si>
    <t>3.4.11</t>
  </si>
  <si>
    <t>3.4.12</t>
  </si>
  <si>
    <t>3.4.13</t>
  </si>
  <si>
    <t>Abraçadeira tipo "D" com chaveta ø25mm (1")</t>
  </si>
  <si>
    <t>4.24</t>
  </si>
  <si>
    <t>4.25</t>
  </si>
  <si>
    <t>4.26</t>
  </si>
  <si>
    <t>4.27</t>
  </si>
  <si>
    <t>4.28</t>
  </si>
  <si>
    <t>4.29</t>
  </si>
  <si>
    <t>4.30</t>
  </si>
  <si>
    <t>4.31</t>
  </si>
  <si>
    <t>4.32</t>
  </si>
  <si>
    <t>4.33</t>
  </si>
  <si>
    <t>4.34</t>
  </si>
  <si>
    <t>4.35</t>
  </si>
  <si>
    <t>4.36</t>
  </si>
  <si>
    <t>4.37</t>
  </si>
  <si>
    <t>4.38</t>
  </si>
  <si>
    <t>4.39</t>
  </si>
  <si>
    <t>4.40</t>
  </si>
  <si>
    <t>Registro gaveta com canopla - 3/4"</t>
  </si>
  <si>
    <t>Tubo PPR PN25 - 32mm</t>
  </si>
  <si>
    <t>Joelho 90° PPR PN25 - 32mm</t>
  </si>
  <si>
    <t xml:space="preserve"> Redução PPR PN25 - 100 x 32</t>
  </si>
  <si>
    <t>Isolamento térmico elastomérico, espessura 25 mm - Tubo PVC CLASSE R 40mm</t>
  </si>
  <si>
    <t>Junção Dupla para esgoto PVC CLASSE R   100 x 100</t>
  </si>
  <si>
    <t>Caixa de Gordura 100x75x50</t>
  </si>
  <si>
    <t>Abraçadeira galvanizada tipo gota para tubulação pvc 25mm</t>
  </si>
  <si>
    <t>Abraçadeira galvanizada tipo gota para tubulação pvc 32mm</t>
  </si>
  <si>
    <t>Abraçadeira galvanizada tipo gota para tubulação pvc 40mm</t>
  </si>
  <si>
    <t>Abraçadeira galvanizada tipo gota para tubulação pvc 50mm</t>
  </si>
  <si>
    <t>Barra Roscada Zincada 1/4"</t>
  </si>
  <si>
    <t>Suporte para ralo sifonado, caixa sifonada e caixa de gordura - Ø100</t>
  </si>
  <si>
    <t>Fornecimento e instalação de unidade climatizadora do tipo DOAS - Dedicated Outdoor Ais System, capacidade 12 TR, vazão de insuflamento 3.888 m³/h, perda de carga disponível 18 mmca, filtro G4 + M5 plissado.</t>
  </si>
  <si>
    <t>5.2.7</t>
  </si>
  <si>
    <t>5.2.8</t>
  </si>
  <si>
    <t>5.2.9</t>
  </si>
  <si>
    <t>Grelha de retorno em alumínio anodizado, com registro - tamanho: 625x425mm</t>
  </si>
  <si>
    <t>Grelha de retorno de porta em alumínio anodizado, com registro - tamanho: 525x525mm</t>
  </si>
  <si>
    <t>5.4.3</t>
  </si>
  <si>
    <t>5.4.4</t>
  </si>
  <si>
    <t>5.4.5</t>
  </si>
  <si>
    <t>5.4.6</t>
  </si>
  <si>
    <t>5.4.7</t>
  </si>
  <si>
    <t>5.4.8</t>
  </si>
  <si>
    <t>5.4.9</t>
  </si>
  <si>
    <t>5.4.10</t>
  </si>
  <si>
    <t>5.4.11</t>
  </si>
  <si>
    <t>5.4.12</t>
  </si>
  <si>
    <t>5.4.13</t>
  </si>
  <si>
    <t>5.4.14</t>
  </si>
  <si>
    <t>5.4.15</t>
  </si>
  <si>
    <t>5.4.16</t>
  </si>
  <si>
    <t>5.4.17</t>
  </si>
  <si>
    <t>5.4.18</t>
  </si>
  <si>
    <t>5.4.19</t>
  </si>
  <si>
    <t>5.4.20</t>
  </si>
  <si>
    <t>5.4.21</t>
  </si>
  <si>
    <t>5.4.22</t>
  </si>
  <si>
    <t>5.4.23</t>
  </si>
  <si>
    <t>5.4.24</t>
  </si>
  <si>
    <t>5.4.25</t>
  </si>
  <si>
    <t>5.4.26</t>
  </si>
  <si>
    <t>5.4.27</t>
  </si>
  <si>
    <t>5.4.28</t>
  </si>
  <si>
    <t>5.4.29</t>
  </si>
  <si>
    <t>5.4.30</t>
  </si>
  <si>
    <t>5.4.31</t>
  </si>
  <si>
    <t>5.4.32</t>
  </si>
  <si>
    <t>5.4.33</t>
  </si>
  <si>
    <t>5.4.34</t>
  </si>
  <si>
    <t>5.4.35</t>
  </si>
  <si>
    <t>5.4.36</t>
  </si>
  <si>
    <t>5.4.37</t>
  </si>
  <si>
    <t>5.4.38</t>
  </si>
  <si>
    <t>5.4.39</t>
  </si>
  <si>
    <t>5.4.40</t>
  </si>
  <si>
    <t>5.4.41</t>
  </si>
  <si>
    <t>5.4.42</t>
  </si>
  <si>
    <t>5.4.43</t>
  </si>
  <si>
    <t>5.4.44</t>
  </si>
  <si>
    <t>5.4.45</t>
  </si>
  <si>
    <t>5.4.46</t>
  </si>
  <si>
    <t>5.4.47</t>
  </si>
  <si>
    <t>5.4.48</t>
  </si>
  <si>
    <t>5.4.49</t>
  </si>
  <si>
    <t>5.4.50</t>
  </si>
  <si>
    <t>5.4.51</t>
  </si>
  <si>
    <t>5.4.52</t>
  </si>
  <si>
    <t>5.4.53</t>
  </si>
  <si>
    <t>5.4.54</t>
  </si>
  <si>
    <t>5.4.55</t>
  </si>
  <si>
    <t>Tubulação de aço carbono - ø3/4" , isolamento térmico elastomérico, espessura 25 mm - incluindo  soldas, colas, fitas, suportes e demais acessórios.</t>
  </si>
  <si>
    <t>Tubulação de aço carbono - ø1" , isolamento térmico elastomérico, espessura 25 mm - incluindo  soldas, colas, fitas, suportes e demais acessórios.</t>
  </si>
  <si>
    <t>Tubulação de aço carbono - ø1 1/4" , isolamento térmico elastomérico, espessura 25 mm - incluindo  soldas, colas, fitas, suportes e demais acessórios.</t>
  </si>
  <si>
    <t>Tubulação de aço carbono - ø1 1/2" , isolamento térmico elastomérico, espessura 25 mm - incluindo  soldas, colas, fitas, suportes e demais acessórios.</t>
  </si>
  <si>
    <t>Tubulação de aço carbono - ø2" , isolamento térmico elastomérico, espessura 25 mm - incluindo soldas, colas, fitas, suportes e demais acessórios.</t>
  </si>
  <si>
    <t xml:space="preserve">Curva  90º em aço carbono preto schedule 40 nbr 5580 ø3/4'' </t>
  </si>
  <si>
    <t xml:space="preserve">Curva  90º em aço carbono preto schedule 40 nbr 5580 ø1'' </t>
  </si>
  <si>
    <t xml:space="preserve">Curva  90º em aço carbono preto schedule 40 nbr 5580 ø1 1/4'' </t>
  </si>
  <si>
    <t xml:space="preserve">Curva  90º em aço carbono preto schedule 40 nbr 5580 ø1 1/2'' </t>
  </si>
  <si>
    <t xml:space="preserve">Tê em aço carbono preto schedule 40 nbr 5580 ø3/4'' </t>
  </si>
  <si>
    <t xml:space="preserve">Tê em aço carbono preto schedule 40 nbr 5580 ø1'' </t>
  </si>
  <si>
    <t xml:space="preserve">Tê em aço carbono preto schedule 40 nbr 5580 ø1 1/4'' </t>
  </si>
  <si>
    <t xml:space="preserve">Tê em aço carbono preto schedule 40 nbr 5580 ø4'' </t>
  </si>
  <si>
    <t xml:space="preserve">Tê em aço carbono preto schedule 40 nbr 5580 ø1 1/2'' </t>
  </si>
  <si>
    <t xml:space="preserve">Bucha de redução em aço carbono preto schedule 40 nbr 5580 ø 1''x3/4''  </t>
  </si>
  <si>
    <t xml:space="preserve">Bucha de redução em aço carbono preto schedule 40 nbr 5580 ø1 1/4''x3/4''  </t>
  </si>
  <si>
    <t xml:space="preserve">Bucha de redução em aço carbono preto schedule 40 nbr 5580 ø2''x3/4''  </t>
  </si>
  <si>
    <t xml:space="preserve">Bucha de redução em aço carbono preto schedule 40 nbr 5580 ø2''x1''  </t>
  </si>
  <si>
    <t xml:space="preserve">Bucha de redução em aço carbono preto schedule 40 nbr 5580 ø2''x1 1/2''  </t>
  </si>
  <si>
    <t>Válvula esfera ø1''</t>
  </si>
  <si>
    <t>Filtro y ø1''</t>
  </si>
  <si>
    <t xml:space="preserve">Junção 45º em aço carbono preto schedule 40 nbr 5580,  ø1'' </t>
  </si>
  <si>
    <t xml:space="preserve">Bucha de redução em aço carbono preto, schedule 40 nbr 5580 ø1''x1/2'' </t>
  </si>
  <si>
    <t xml:space="preserve">Tê em aço carbono preto schedule 40, nbr 5580,  ø1''x1/2'' </t>
  </si>
  <si>
    <t>Niple  em aço carbono preto, nbr 5580, ø1''</t>
  </si>
  <si>
    <t>União com assento cônico de bronze ø1''</t>
  </si>
  <si>
    <t xml:space="preserve">Válvula de controle  com atuador elétrico proporcional, tipo esfera, c/ 2 vias,  ø 1" </t>
  </si>
  <si>
    <t>Válvula de balanceamento e isolamento térmico, ø1''</t>
  </si>
  <si>
    <t>Curva 90º  em aço carbono preto schedule 40, nbr 5580,  ø1''</t>
  </si>
  <si>
    <t xml:space="preserve">Válvula esfera ø1 1/4''  </t>
  </si>
  <si>
    <t xml:space="preserve">Filtro y ø1 1/4''  </t>
  </si>
  <si>
    <t xml:space="preserve">Junção 45º em aço carbono preto schedule 40 nbr 5580,  ø1 1/4'' </t>
  </si>
  <si>
    <t xml:space="preserve">Bucha de redução em aço carbono preto, schedule 40 nbr 5580 ø1 1/4''x1/2'' </t>
  </si>
  <si>
    <t xml:space="preserve">Tê em aço carbono preto schedule 40, nbr 5580,  ø1 1/4''x1/2'' </t>
  </si>
  <si>
    <t>Niple  em aço carbono preto, nbr 5580, ø1 1/4''</t>
  </si>
  <si>
    <t>União com assento cônico de bronze ø1 1/4''</t>
  </si>
  <si>
    <t xml:space="preserve">Válvula de controle  com atuador elétrico proporcional, tipo esfera, c/ 2 vias,  ø 1 1/4" </t>
  </si>
  <si>
    <t>Válvula de balanceamento e isolamento térmico, ø1 1/4''</t>
  </si>
  <si>
    <t>Curva 90º  em aço carbono preto schedule 40, nbr 5580,  ø1 1/4''</t>
  </si>
  <si>
    <t xml:space="preserve">Válvula esfera ø1 1/2''  </t>
  </si>
  <si>
    <t xml:space="preserve">Filtro y ø1 1/2''  </t>
  </si>
  <si>
    <t xml:space="preserve">Junção 45º em aço carbono preto schedule 40 nbr 5580,  ø1 1/2'' </t>
  </si>
  <si>
    <t xml:space="preserve">Bucha de redução em aço carbono preto, schedule 40 nbr 5580 ø1 1/2''x1/2'' </t>
  </si>
  <si>
    <t xml:space="preserve">Tê em aço carbono preto schedule 40, nbr 5580,  ø1 1/2''x1/2'' </t>
  </si>
  <si>
    <t>Niple  ø1 1/2'</t>
  </si>
  <si>
    <t>União com assento cônico de bronze ø1 1/2'</t>
  </si>
  <si>
    <t xml:space="preserve">Válvula de controle com atuador elétrico, tipo esfera, c/ 2 vias,  ø 1 1/2" </t>
  </si>
  <si>
    <t>Válvula de balanceamento e isolamento térmico, ø1 1/2''</t>
  </si>
  <si>
    <t>Curva 90º  em aço carbono preto schedule 40, nbr 5580,  ø1 1/2''</t>
  </si>
  <si>
    <t xml:space="preserve">Mangote hidráulico flexível, com isolamento térmico, ø3/4'' </t>
  </si>
  <si>
    <t>Válvula de controle com atuador, duas vias, ø3/4''</t>
  </si>
  <si>
    <t xml:space="preserve">Filtro y ø3/4 (unidade) </t>
  </si>
  <si>
    <t>Válvula de balanceamento com isolamento térmico, ø3/4"</t>
  </si>
  <si>
    <t>Termômetro tipo coluna, com proteção metálica, escala de 0 a 30 C</t>
  </si>
  <si>
    <t>Válvula de esfera  Ø1/2''</t>
  </si>
  <si>
    <t>Manômetro, com escala de 0 a 7 kgf/cm², diâmetro do mostrador de 100 mm, conexão  Ø1/2''</t>
  </si>
  <si>
    <t>TÊ  em aço carbono preto schedule 40 NBR 5580, Ø1/2''</t>
  </si>
  <si>
    <t>Cambota de madeira</t>
  </si>
  <si>
    <t>Condulete múltiplo Ø1"c/tampa cega</t>
  </si>
  <si>
    <t>Dampers</t>
  </si>
  <si>
    <t>5.7</t>
  </si>
  <si>
    <t>5.7.1</t>
  </si>
  <si>
    <t>5.7.2</t>
  </si>
  <si>
    <t>5.7.3</t>
  </si>
  <si>
    <t>5.7.4</t>
  </si>
  <si>
    <t>5.7.5</t>
  </si>
  <si>
    <t>5.7.6</t>
  </si>
  <si>
    <t>5.7.7</t>
  </si>
  <si>
    <t>5.7.8</t>
  </si>
  <si>
    <t>5.7.9</t>
  </si>
  <si>
    <t>5.7.10</t>
  </si>
  <si>
    <t>5.7.11</t>
  </si>
  <si>
    <t>5.7.12</t>
  </si>
  <si>
    <t>5.7.14</t>
  </si>
  <si>
    <t>5.7.15</t>
  </si>
  <si>
    <t>Sensor de Intrusão de contato magnético para monitoramento de abertura ou fechamento de portas para ambientes internos. Marca Mercato, Modelo SMSR9028</t>
  </si>
  <si>
    <t>7.3.4</t>
  </si>
  <si>
    <t>Bloco autônomo para iluminação de emergência, 96 LEDs, IP40, 6W</t>
  </si>
  <si>
    <t>No-break 10 Kva</t>
  </si>
  <si>
    <t>Medição de Energia</t>
  </si>
  <si>
    <t>7.10</t>
  </si>
  <si>
    <t>7.10.1</t>
  </si>
  <si>
    <t>CFTV</t>
  </si>
  <si>
    <t>7.11</t>
  </si>
  <si>
    <t>7.11.1</t>
  </si>
  <si>
    <t>7.11.2</t>
  </si>
  <si>
    <t>OBSERVAÇÃO:</t>
  </si>
  <si>
    <t>Baseado nos coeficientes da CPU  SINAPI 102194</t>
  </si>
  <si>
    <t>SINAPI 97912</t>
  </si>
  <si>
    <t>2.1.18</t>
  </si>
  <si>
    <t>SINAPI 100973</t>
  </si>
  <si>
    <t>CPUE 10</t>
  </si>
  <si>
    <t>CPUE 11</t>
  </si>
  <si>
    <t>CPUE 12</t>
  </si>
  <si>
    <t>CPUE 13</t>
  </si>
  <si>
    <t>CPUE 15</t>
  </si>
  <si>
    <t>CPUE 14</t>
  </si>
  <si>
    <t>CPUE 16</t>
  </si>
  <si>
    <t>Baseado nos coeficientes da CPU  SINAPI 96710</t>
  </si>
  <si>
    <t>SINAPI 89546</t>
  </si>
  <si>
    <t>Baseado nos coeficientes da CPU  SBC 202327</t>
  </si>
  <si>
    <t>Baseado nos coeficientes da CPU  SBC 55038</t>
  </si>
  <si>
    <t>CPUE 53</t>
  </si>
  <si>
    <t>Baseado nos coeficientes da CPU  SINAPI 95544</t>
  </si>
  <si>
    <t>Baseado nos coeficientes da CPU  SINAPI 100854</t>
  </si>
  <si>
    <t>CPUE 22</t>
  </si>
  <si>
    <t>CPUE 23</t>
  </si>
  <si>
    <t>CPUE 24</t>
  </si>
  <si>
    <t>CPUE 25</t>
  </si>
  <si>
    <t>CPUE 39</t>
  </si>
  <si>
    <t>Baseado nos coeficientes da CPU  SBC 60004</t>
  </si>
  <si>
    <t>Baseado nos coeficientes da CPU  SBC 60121</t>
  </si>
  <si>
    <t>Baseado nos coeficientes da CPU  SBC 60504</t>
  </si>
  <si>
    <t>Baseado nos coeficientes da CPU  SINAPI 92010</t>
  </si>
  <si>
    <t>Baseado nos coeficientes da CPU  SINAPI 91998</t>
  </si>
  <si>
    <t>Baseado nos coeficientes da CPU  SINAPI 91953</t>
  </si>
  <si>
    <t>Baseado nos coeficientes da CPU  SINAPI 91957</t>
  </si>
  <si>
    <t>Baseado nos coeficientes da CPU  SBC 67225</t>
  </si>
  <si>
    <t>Baseado nos coeficientes da CPU  SBC 70059</t>
  </si>
  <si>
    <t>Baseado nos coeficientes da CPU  SBC 59304</t>
  </si>
  <si>
    <t>CPUE 40</t>
  </si>
  <si>
    <t>SINAPI 95696</t>
  </si>
  <si>
    <t>Baseado nos coeficientes da CPU  SBC 70126</t>
  </si>
  <si>
    <t>CPUE 46</t>
  </si>
  <si>
    <t>Baseado nos coeficientes da CPU  SBC 55943</t>
  </si>
  <si>
    <t>Baseado nos coeficientes da CPU  SBC 58610</t>
  </si>
  <si>
    <t>CPUE 48</t>
  </si>
  <si>
    <t>CPUE 47</t>
  </si>
  <si>
    <t>Baseado nos coeficientes da CPU  SBC 58090</t>
  </si>
  <si>
    <t>Baseado nos coeficientes da CPU  SBC 59319</t>
  </si>
  <si>
    <t>SINAPI 101912</t>
  </si>
  <si>
    <t>Demolição de piso de cimento alisado</t>
  </si>
  <si>
    <t>Retirada de portas de madeira/vidro</t>
  </si>
  <si>
    <t>Retirada de luminárias</t>
  </si>
  <si>
    <t>Retirada de dectetor de fumaça</t>
  </si>
  <si>
    <t>Retirada de sprinklers</t>
  </si>
  <si>
    <t>Retirada de difusores</t>
  </si>
  <si>
    <t>2.1.19</t>
  </si>
  <si>
    <t>2.1.20</t>
  </si>
  <si>
    <t>2.1.21</t>
  </si>
  <si>
    <t>2.4.4</t>
  </si>
  <si>
    <t>Fornecimento e instalação de porta em laminado estrutural TS, 70x170cm,  uma folha de abrir, marco, batentes, acabamentos, dobradiças e fechaduras</t>
  </si>
  <si>
    <t>2.9</t>
  </si>
  <si>
    <t>Bancadas de granito</t>
  </si>
  <si>
    <t>2.9.1</t>
  </si>
  <si>
    <t>Barra de apoio reta 40cm</t>
  </si>
  <si>
    <t>ORIGEM</t>
  </si>
  <si>
    <t>CÓDIGO</t>
  </si>
  <si>
    <t>DESCRIÇÃO</t>
  </si>
  <si>
    <t>Plano de Gerenciamento de Resíduos Sólidos da construção Civil – PGRCC</t>
  </si>
  <si>
    <t>SINAPI  97631</t>
  </si>
  <si>
    <t>SINAPI 97665</t>
  </si>
  <si>
    <t>SINAPI 97664</t>
  </si>
  <si>
    <t>Carga, manobra e descarga de solos e materiais granulares em caminhão basculante 6 m3</t>
  </si>
  <si>
    <t xml:space="preserve">Eletroduto de aço galvanizado pesado, ø 25mm (1") </t>
  </si>
  <si>
    <t>Cód. 01 - Divisória modular com painél cego piso ao teto, esp. 8cm, chapa em MDF conf. memorial descritivo</t>
  </si>
  <si>
    <t>Cód. 02 - Divisória modular com painél cego até 90cm  em MDF e vidro até o forro, com persiana interna, esp. 8cm, conf. memorial descritivo</t>
  </si>
  <si>
    <t>Cód. 03 - Divisória modular vidro único piso ao teto, vidro laminado 6mm (3mm+3mm), conf. memorial descritivo</t>
  </si>
  <si>
    <t>Cód. 04 - Divisória modular painel cego (tipo lambri), piso ao teto, 1 face, esp. 40mm, conf. memorial descritivo</t>
  </si>
  <si>
    <t>Cód 12 - Porta em MDF 80x210cm, 1 folha de abrir no padrão da div. 01</t>
  </si>
  <si>
    <t>Cód 13 - Porta em MDF 130x210cm, 2 folhas de abrir no padrão do revestimento da circulação</t>
  </si>
  <si>
    <t>Cód 14 - Porta em MDF 290x210cm, 2 folhas de abrir no padrão do revestimento da circulação</t>
  </si>
  <si>
    <t>Cód 16 - Porta em vidro 200x220cm, 2 folhas de abrir - hall de acesso</t>
  </si>
  <si>
    <t>COT. 046-1</t>
  </si>
  <si>
    <t>m3Xkm</t>
  </si>
  <si>
    <t xml:space="preserve">Transporte com caminhão basculante de  6 m³, em via urbana pavimentada, DMT até 30 km </t>
  </si>
  <si>
    <t>Perfilado metálico galvanizado 38x38 mm CH20</t>
  </si>
  <si>
    <t>Viga U 3''x11/2''x3mm</t>
  </si>
  <si>
    <t>Tubulação frigorífica - tubo de cobre com têmpera mole flexível Ø1/2'', com isolamento térmico elastomérico, espessura 19 mm, incluindo conexões, soldas, colas, fitas, suportes e demais acessórios.</t>
  </si>
  <si>
    <t>Tubulação frigorífica -tubo de cobre com têmpera mole flexível Ø1/4", com isolamento térmico elastomérico, espessura 19 mm, incluindo conexões, soldas, colas, fitas, suportes e demais acessórios.</t>
  </si>
  <si>
    <t>SINAPI 100867</t>
  </si>
  <si>
    <t>CPUE 100</t>
  </si>
  <si>
    <t>2.8.21</t>
  </si>
  <si>
    <t>2.8.22</t>
  </si>
  <si>
    <t>2.8.23</t>
  </si>
  <si>
    <t>2.8.24</t>
  </si>
  <si>
    <t>2.8.25</t>
  </si>
  <si>
    <t>2.8.26</t>
  </si>
  <si>
    <t>Bancada de granito 3cm, cinza andorinha</t>
  </si>
  <si>
    <t>SINAPI 102229</t>
  </si>
  <si>
    <t>2.6.5</t>
  </si>
  <si>
    <t>Divisória de granito, cinza andorinha 3cm com ferragens</t>
  </si>
  <si>
    <t>SINAPI 98555</t>
  </si>
  <si>
    <t>SINAPI 94464</t>
  </si>
  <si>
    <t>SINAPI 92649</t>
  </si>
  <si>
    <t>SINAPI 92648</t>
  </si>
  <si>
    <t>Cotovelo 90° - conexão  aço carbono 11/4"</t>
  </si>
  <si>
    <t>SINAPI 97458</t>
  </si>
  <si>
    <t>SINAPI 97459</t>
  </si>
  <si>
    <t>SINAPI 97492</t>
  </si>
  <si>
    <t>SINAPI 97493</t>
  </si>
  <si>
    <t>Baseado nos coeficientes da CPU  SINAPI 91170</t>
  </si>
  <si>
    <t>Baseado nos coeficientes da CPU  SINAPI 91171</t>
  </si>
  <si>
    <t>Abraçadeira galvanizada tipo gota para tubulação pvc 100mm</t>
  </si>
  <si>
    <t>Baseado nos coeficientes da CPU  SINAPI 92358</t>
  </si>
  <si>
    <t>Baseado nos coeficientes da CPU  SINAPI 92357</t>
  </si>
  <si>
    <t>Baseado nos coeficientes da CPU  SINAPI 92928</t>
  </si>
  <si>
    <t>Baseado nos coeficientes da CPU  SINAPI 92932</t>
  </si>
  <si>
    <t>Baseado nos coeficientes da CPU  SINAPI 92931</t>
  </si>
  <si>
    <t>Baseado nos coeficientes da CPU  SINAPI 92934</t>
  </si>
  <si>
    <t>Baseado nos coeficientes da CPU  SINAPI 92935</t>
  </si>
  <si>
    <t>Baseado nos coeficientes da CPU  SINAPI 92937</t>
  </si>
  <si>
    <t>Baseado nos coeficientes da CPU  SINAPI 92936</t>
  </si>
  <si>
    <t>Baseado nos coeficientes da CPU  sbc 52403</t>
  </si>
  <si>
    <t>Baseado nos coeficientes da  SBC 52374</t>
  </si>
  <si>
    <t>Chapa de compensado 6mm</t>
  </si>
  <si>
    <t>Moldura de alumínio A-28 anodizado 12cm</t>
  </si>
  <si>
    <t>Espelho cristal 4mm</t>
  </si>
  <si>
    <t>Vidraceiro c/encargos complementares</t>
  </si>
  <si>
    <t>Baseado nos coeficientes da CPU  SBC 190464</t>
  </si>
  <si>
    <t>Barra de apoio p/banheiro de alumínio polido 40cm c/parafusos</t>
  </si>
  <si>
    <t>Baseado nos coeficientes da CPU  SINAPI 100867</t>
  </si>
  <si>
    <t>Cuba dupla em aço inóx</t>
  </si>
  <si>
    <t>Marmorista c/encargos complementares</t>
  </si>
  <si>
    <t>Baseado nos coeficientes da CPU  SINAPI 86900</t>
  </si>
  <si>
    <t>Cimento Portland CP32</t>
  </si>
  <si>
    <t>Areia</t>
  </si>
  <si>
    <t>m3</t>
  </si>
  <si>
    <t>Cimento branco</t>
  </si>
  <si>
    <t>Tampo de granito cinza Andorinha, esp. 3cm</t>
  </si>
  <si>
    <t>Frontão granito cinza Andorinha 10x2cm</t>
  </si>
  <si>
    <t>Baseado nos coeficientes da CPU  SBC 190276</t>
  </si>
  <si>
    <t>Laminado melamínico 1,3mm</t>
  </si>
  <si>
    <t>Cola p/laminado de fórmica</t>
  </si>
  <si>
    <t>Porta de madeira lisa para pintura 0,70x1,70 m</t>
  </si>
  <si>
    <t>Tarjeta livre/ocupado p/banho</t>
  </si>
  <si>
    <t>Dobradiça aço cromado 3 1/2"x3"</t>
  </si>
  <si>
    <t>Carpinteiroc/encargos complementares</t>
  </si>
  <si>
    <t>Cruzeta de ferro galvanizado 3''</t>
  </si>
  <si>
    <t>Cruzeta de ferro galvanizado 2 1/2"</t>
  </si>
  <si>
    <t>Bucha de redução de ferro galvanizado 1 1/2" x 1 1/4"</t>
  </si>
  <si>
    <t xml:space="preserve">Bucha de redução de ferro galvanizado 2'' x 1 1/4" </t>
  </si>
  <si>
    <t xml:space="preserve">Bucha de redução de ferro galvanizado 2'' x 1 1/2" </t>
  </si>
  <si>
    <t xml:space="preserve">Bucha de redução de ferro galvanizado 2 1/2'' x 1 1/4" </t>
  </si>
  <si>
    <t xml:space="preserve">Bucha de redução de ferro galvanizado 2 1/2'' x 1 1/2" </t>
  </si>
  <si>
    <t xml:space="preserve">Bucha de redução de redução de ferro galvanizado 2 1/2'' x 2" </t>
  </si>
  <si>
    <t xml:space="preserve">Bucha de redução de redução de ferro galvanizado 3 '' x 2" </t>
  </si>
  <si>
    <t xml:space="preserve">Bucha de redução de ferro galvanizado 3'' x 2 1/2" </t>
  </si>
  <si>
    <t xml:space="preserve">Bucha de redução de ferro galvanizado 6'' x 3" </t>
  </si>
  <si>
    <t>Extintor PQS ABC (2-a 20 BC) - 4 kg</t>
  </si>
  <si>
    <t xml:space="preserve">Bucha de redução rosqueada em aço carbono preto 6'' x 4" </t>
  </si>
  <si>
    <t xml:space="preserve">Bucha de redução rosqueada em aço carbono preto 4'' x 3" </t>
  </si>
  <si>
    <t xml:space="preserve"> </t>
  </si>
  <si>
    <t>Tee em ferro galvanizado  6"</t>
  </si>
  <si>
    <t xml:space="preserve">Baseado nos coeficientes da CPU SBC 58110 </t>
  </si>
  <si>
    <t>CPUE 104</t>
  </si>
  <si>
    <t>SINAPI 96666</t>
  </si>
  <si>
    <t>SINAPI 96749</t>
  </si>
  <si>
    <t>SINAPI 96648</t>
  </si>
  <si>
    <t>Caixa de gordura de PVC , entrada 50mm, saida 100mm</t>
  </si>
  <si>
    <t>SINAPI 102711</t>
  </si>
  <si>
    <t>COT.070</t>
  </si>
  <si>
    <t>Baseado nos coeficientes da CPU  SBC 52263</t>
  </si>
  <si>
    <t>COT.071</t>
  </si>
  <si>
    <t>Baseado nos coeficientes da CPU  SBC 100007</t>
  </si>
  <si>
    <t>Baseado nos coeficientes da CPU SINAPI 89482</t>
  </si>
  <si>
    <t>Caixa Sifonada 100x100x50</t>
  </si>
  <si>
    <t>Eletroduto de aço galvanizado pesado, ø 25mm (1")</t>
  </si>
  <si>
    <t>Tampa de encaixe para eletrocalha 150x10x3000mm</t>
  </si>
  <si>
    <t>Eletrocalha metálica perfurada 150x75x3000mm chapa 18</t>
  </si>
  <si>
    <t>COT. 73-2</t>
  </si>
  <si>
    <t>Baseado nos coeficientes da CPU  SBC 61129/63150</t>
  </si>
  <si>
    <t>CPUE 108</t>
  </si>
  <si>
    <t>Baseado nos coeficientes da CPU  SBC 49211</t>
  </si>
  <si>
    <t>CPUE 109</t>
  </si>
  <si>
    <t>Curva  vertical de inversão 150x75x150</t>
  </si>
  <si>
    <t>Gancho vertical 150x75mm</t>
  </si>
  <si>
    <t>COT .73-3</t>
  </si>
  <si>
    <t>COT .73-4</t>
  </si>
  <si>
    <t>CPUE 107</t>
  </si>
  <si>
    <t>CPUE 110</t>
  </si>
  <si>
    <t>Baseado nos coeficientes  da CPU  SBC 63052</t>
  </si>
  <si>
    <t>CPUE 111</t>
  </si>
  <si>
    <t>COT .73-5</t>
  </si>
  <si>
    <t>Curva  horizontal para eletrocalha 150x75x150</t>
  </si>
  <si>
    <t>Tê horizontal para eletrocalha 150x75mm</t>
  </si>
  <si>
    <t>CPUE 112</t>
  </si>
  <si>
    <t>COT .73-6</t>
  </si>
  <si>
    <t>Baseado nos coeficientes  da CPU  SBC 63745</t>
  </si>
  <si>
    <t>CPUE 113</t>
  </si>
  <si>
    <t>COT .73-7</t>
  </si>
  <si>
    <t>Saída horizontal de eletrocalha p/perfilado 3/4"</t>
  </si>
  <si>
    <t>Baseado nos coeficientes  da CPU  SBC 63612</t>
  </si>
  <si>
    <t>CPUE 114</t>
  </si>
  <si>
    <t>COT .73-8</t>
  </si>
  <si>
    <t>Baseado nos coeficientes  da CPU  SBC 63748</t>
  </si>
  <si>
    <t>CPUE 115</t>
  </si>
  <si>
    <t>COT .73-9</t>
  </si>
  <si>
    <t>Flange p/para eletrocaha 150x75mm</t>
  </si>
  <si>
    <t>Baseado nos coeficientes  da CPU  SBC 63615</t>
  </si>
  <si>
    <t>CPUE 116</t>
  </si>
  <si>
    <t>COT .73-10</t>
  </si>
  <si>
    <t>Baseado nos coeficientes  da CPU  SBC 60504</t>
  </si>
  <si>
    <t>COT .73-13</t>
  </si>
  <si>
    <t>CPUE 118</t>
  </si>
  <si>
    <t>Saída lateral horizontal pré galvanizada para eletroduto 3/4"</t>
  </si>
  <si>
    <t>Baseado nos coeficientes  da CPU  SBC 63756</t>
  </si>
  <si>
    <t>CPUE 119</t>
  </si>
  <si>
    <t>Chave de fluxo diâmetro para água 1 1/4"</t>
  </si>
  <si>
    <t>Chave de fluxo diâmetro 1 1/4"</t>
  </si>
  <si>
    <t>COT.75</t>
  </si>
  <si>
    <t>COT. 76</t>
  </si>
  <si>
    <t>COT.77</t>
  </si>
  <si>
    <t>COT.78</t>
  </si>
  <si>
    <t>CPUE 58</t>
  </si>
  <si>
    <t>CPUE 59</t>
  </si>
  <si>
    <t>COT.79</t>
  </si>
  <si>
    <t>COT. 81</t>
  </si>
  <si>
    <t>COT. 80</t>
  </si>
  <si>
    <t>COT. 77</t>
  </si>
  <si>
    <t>CPUE 60</t>
  </si>
  <si>
    <t>CPUE 61</t>
  </si>
  <si>
    <t>Baseado nos coeficientes da CPU  SINAPI 89556</t>
  </si>
  <si>
    <t xml:space="preserve"> Luva PPR 100</t>
  </si>
  <si>
    <t>Baseado nos coeficientes da CPU  SBC 71146</t>
  </si>
  <si>
    <t>Tubo isolante Polipex Plus UV 42mm  (1.5/8")</t>
  </si>
  <si>
    <t>Baseado nos coeficientes  da CPU  PINI 16120</t>
  </si>
  <si>
    <t>Cabo PP Cordplast 3 condutores 450/750V 1,50mm2</t>
  </si>
  <si>
    <t>Baseado nos coeficientes  da CPU SBC 63511</t>
  </si>
  <si>
    <t>Passa objetos - esquadria de madeira 106x80cm</t>
  </si>
  <si>
    <t>Patch Cord 1,5m, Categoria 5e (Rack)</t>
  </si>
  <si>
    <t>Baseado nos coeficientes  da CPU  SBC 79560</t>
  </si>
  <si>
    <t>Baseado nos coeficientes  da CPU  SBC 62601</t>
  </si>
  <si>
    <t>COT. 90</t>
  </si>
  <si>
    <t>Cópias de projetos Plotter</t>
  </si>
  <si>
    <t>Arquiteto com encargos complementares</t>
  </si>
  <si>
    <t>Desenhista com encargos complementares</t>
  </si>
  <si>
    <t>Baseado nos coeficientes  da CPU SBC 56</t>
  </si>
  <si>
    <t>COT.92</t>
  </si>
  <si>
    <t>Baseado nos coeficientes  da CPU  SBC 68399</t>
  </si>
  <si>
    <t>Eletrotécnico c/encargos complementares</t>
  </si>
  <si>
    <t>COT.96</t>
  </si>
  <si>
    <t>COT.97</t>
  </si>
  <si>
    <t>Baseado nos coeficientes  da CPU  SBC 70304</t>
  </si>
  <si>
    <t>Baseado nos coeficientes equivalentes da SBC 56700</t>
  </si>
  <si>
    <t>CPUE 01</t>
  </si>
  <si>
    <t>CPUE 02</t>
  </si>
  <si>
    <t>CPUE 03</t>
  </si>
  <si>
    <t>COT 60</t>
  </si>
  <si>
    <t>CPUE 04</t>
  </si>
  <si>
    <t>Pino com arruela conica</t>
  </si>
  <si>
    <t>Fita de papel microperfurado, 50 X 150 mm, para tratamento de juntas de chapa de gesso Drywall</t>
  </si>
  <si>
    <t xml:space="preserve">Placa /chapa de gesso acartonado resistente a umidade (RU), cor verde , E = 12,5 MM, 1200 X 2400 mm (L X C)                                                                                                                                                                                                                                                                                                                                                                                              </t>
  </si>
  <si>
    <t>Perfil guia, formato U, em aço zindado, para estrutura parede Drywall, E = 0,5 MM, 70 X 3000 mm (L X C)</t>
  </si>
  <si>
    <t>Perfil guia, formato C, em aço zindado, para estrutura parede Drywall, E = 0,5 MM, 70 X 3000 mm (L X C)</t>
  </si>
  <si>
    <t>Fita de papel reforçado com lamina de metal para reforço de cantos de chapa de gesso Drywall</t>
  </si>
  <si>
    <t xml:space="preserve">Massa de rejunte em pó para Drywall, a base de gesso, secagem rápida, para tratamento de juntas de chapa de gesso </t>
  </si>
  <si>
    <t xml:space="preserve">Parafuso Drywall, em aço fostatizado, cabeça trombeta e ponta agulha (TA), compr. 25 mm </t>
  </si>
  <si>
    <t>Parafuso Drywall, em aço zincado, cabeça lentilha e ponta broca (LB),larg. 4,2 mm, compr. 13 mm</t>
  </si>
  <si>
    <t>Feltro em lã de rocha 1 face revestida c/filme polipropileno</t>
  </si>
  <si>
    <t>Montador de estrutura com encargos complementares</t>
  </si>
  <si>
    <t>Servente com encargos complementares</t>
  </si>
  <si>
    <t xml:space="preserve">h </t>
  </si>
  <si>
    <t>cento</t>
  </si>
  <si>
    <t>CPUE 05</t>
  </si>
  <si>
    <t>CPUE 06</t>
  </si>
  <si>
    <t>CPUE 07</t>
  </si>
  <si>
    <t>CPUE 08</t>
  </si>
  <si>
    <t>Forro de fibra mineral em placas  625 X 625 MM, E = 15/16 mm,borda rebaixada,  com pintura antimofo, apoiado em perfilde aço galvanizado com 24 mm de base - INSTALADO</t>
  </si>
  <si>
    <t xml:space="preserve">Lixa em folha para parede, número 120 </t>
  </si>
  <si>
    <t>Pintor com encargos complementares</t>
  </si>
  <si>
    <t>CPUE 17</t>
  </si>
  <si>
    <t>CPUE 18</t>
  </si>
  <si>
    <t>CPUE 19</t>
  </si>
  <si>
    <t>CPUE 20</t>
  </si>
  <si>
    <t>Torneira cromada de mesa para lavatório temporizada pressão bica baixa</t>
  </si>
  <si>
    <t>Fita veda rosca em rolos de 18 mm X 10 m (L X C)</t>
  </si>
  <si>
    <t>CPUE 21</t>
  </si>
  <si>
    <t>CPUE 26</t>
  </si>
  <si>
    <t>CPUE 27</t>
  </si>
  <si>
    <t xml:space="preserve">CPUE 26 </t>
  </si>
  <si>
    <t>Placa de sinalização de segurança contra incêndio fotoluminescente, quadrada, 20 X 20 cm, em  PVC anti-chamas</t>
  </si>
  <si>
    <t xml:space="preserve">Placas de sinalização conforme projeto </t>
  </si>
  <si>
    <t>Fita plastica zebrada para demarcação de áreas, largura  7 CM</t>
  </si>
  <si>
    <t>CPUE 28</t>
  </si>
  <si>
    <t>CPUE 29</t>
  </si>
  <si>
    <t>CPUE 30</t>
  </si>
  <si>
    <t>CPUE 31</t>
  </si>
  <si>
    <t>CPUE 32</t>
  </si>
  <si>
    <t>CPUE 33</t>
  </si>
  <si>
    <t>CPUE 34</t>
  </si>
  <si>
    <t>CPUE 35</t>
  </si>
  <si>
    <t>CPUE 36</t>
  </si>
  <si>
    <t>CPUE 37</t>
  </si>
  <si>
    <t>CPUE 38</t>
  </si>
  <si>
    <t>CPUE 41</t>
  </si>
  <si>
    <t>CPUE 42</t>
  </si>
  <si>
    <t>CPUE 43</t>
  </si>
  <si>
    <t>CPUE 44</t>
  </si>
  <si>
    <t>CPUE 45</t>
  </si>
  <si>
    <t>CPUE 49</t>
  </si>
  <si>
    <t>CPUE 50</t>
  </si>
  <si>
    <t>CPUE 51</t>
  </si>
  <si>
    <t>CPUE 52</t>
  </si>
  <si>
    <t>CPUE 54</t>
  </si>
  <si>
    <t xml:space="preserve">Cruzeta de ferro galvanizado, com rosca BSP, de 3"     </t>
  </si>
  <si>
    <t>Fundo anticorrosivo para metais ferrosos (zarcão)</t>
  </si>
  <si>
    <t xml:space="preserve">Cruzeta de ferro galvanizado, com rosca BSP, de 2 1/2"     </t>
  </si>
  <si>
    <t xml:space="preserve">Bucha de redução de ferro galvanizado, com rosca  BSP, de 1 1/2" X 1 1/4"                                                                                                                                                                                                                                                                                                                                                                                                                                  </t>
  </si>
  <si>
    <t xml:space="preserve">Bucha de redução de ferro galvanizado, com rosca  BSP, de 2" X 1 1/4"                                                                                                                                                                                                                                                                                                                                                                                                                                  </t>
  </si>
  <si>
    <t xml:space="preserve">Bucha de redução de ferro galvanizado, com rosca  BSP, de 2" X 1 1/2"                                                                                                                                                                                                                                                                                                                                                                                                                                  </t>
  </si>
  <si>
    <t xml:space="preserve">Bucha de redução de ferro galvanizado, com rosca  BSP, de 2 1/2" X 1 1/2"                                                                                                                                                                                                                                                                                                                                                                                                                                  </t>
  </si>
  <si>
    <t xml:space="preserve">Bucha de redução de ferro galvanizado, com rosca  BSP, de 2 1/2" X 1 1/4"                                                                                                                                                                                                                                                                                                                                                                                                                                  </t>
  </si>
  <si>
    <t xml:space="preserve">Bucha de redução de ferro galvanizado, com rosca  BSP, de 2 1/2" X 2"                                                                                                                                                                                                                                                                                                                                                                                                                                  </t>
  </si>
  <si>
    <t xml:space="preserve">Bucha de redução de ferro galvanizado, com rosca  BSP, de 3" X 2"                                                                                                                                                                                                                                                                                                                                                                                                                                  </t>
  </si>
  <si>
    <t xml:space="preserve">Bucha de redução de ferro galvanizado, com rosca  BSP, de 3" X 2 1/2"                                                                                                                                                                                                                                                                                                                                                                                                                                  </t>
  </si>
  <si>
    <t>CPUE 55</t>
  </si>
  <si>
    <t xml:space="preserve">Registro gaveta com acabamento e canopla cromados ,bitola 3/4 "                                                                                                                                                                                                                                                                                                                                                                                                              </t>
  </si>
  <si>
    <t>Fita veda rosca em rolos de 18mm X 50 m (L X C)</t>
  </si>
  <si>
    <t>CPUE 56</t>
  </si>
  <si>
    <t>CPUE 57</t>
  </si>
  <si>
    <t>Redução PPR PN25 - 100 x 32</t>
  </si>
  <si>
    <t>Redução para esgoto PVC CLASSE R - 50x40</t>
  </si>
  <si>
    <t>Redução para esgoto PVC CLASSE R - 100x50</t>
  </si>
  <si>
    <t xml:space="preserve">Redução excêntrica  PVC p/esgoto predial DN 100 X 50MM                                                                                                                                                                                                                                                                                                                                                                                                                                                       </t>
  </si>
  <si>
    <t>Bomba de drenagem Ar Condicionado, capacidade de 12 LITROS / HORA ou superiror, com reservatório secundário submersivel</t>
  </si>
  <si>
    <t>CPUE 62</t>
  </si>
  <si>
    <t>CPUE 63</t>
  </si>
  <si>
    <t>CPUE 64</t>
  </si>
  <si>
    <t>CPUE 65</t>
  </si>
  <si>
    <t>CPUE 66</t>
  </si>
  <si>
    <t>CPUE 67</t>
  </si>
  <si>
    <t>CPUE 68</t>
  </si>
  <si>
    <t>CPUE 69</t>
  </si>
  <si>
    <t>CPUE 70</t>
  </si>
  <si>
    <t>6.10</t>
  </si>
  <si>
    <t>6.11</t>
  </si>
  <si>
    <t>6.12</t>
  </si>
  <si>
    <t>6.13</t>
  </si>
  <si>
    <t>6.14</t>
  </si>
  <si>
    <t>6.15</t>
  </si>
  <si>
    <t>6.16</t>
  </si>
  <si>
    <t>6.17</t>
  </si>
  <si>
    <t>6.18</t>
  </si>
  <si>
    <t>6.19</t>
  </si>
  <si>
    <t>CPUE 71</t>
  </si>
  <si>
    <t>CPUE 72</t>
  </si>
  <si>
    <t>CPUE 73</t>
  </si>
  <si>
    <t>CPUE 74</t>
  </si>
  <si>
    <t>CPUE 75</t>
  </si>
  <si>
    <t xml:space="preserve">Terminal de compressão em cobre estanhado </t>
  </si>
  <si>
    <t>CPUE 76</t>
  </si>
  <si>
    <t>CPUE 77</t>
  </si>
  <si>
    <t>CPUE 78</t>
  </si>
  <si>
    <t>CPUE 79</t>
  </si>
  <si>
    <t>CPUE 80</t>
  </si>
  <si>
    <t>CPUE 81</t>
  </si>
  <si>
    <t>Soquete de  PVC termoplástico com rabicho</t>
  </si>
  <si>
    <t>Lâmpada  LED tubular bivolt 9/10 W, base G13</t>
  </si>
  <si>
    <t>Lampada  LED 10 W bivolt branca, formato tradicional, base E27</t>
  </si>
  <si>
    <t>CPUE 82</t>
  </si>
  <si>
    <t>Bloco autônomo para iluminação de emergência</t>
  </si>
  <si>
    <t>Baseado nos coeficientes da CPU  SBC 60871</t>
  </si>
  <si>
    <t>CPUE 083</t>
  </si>
  <si>
    <t>CPUE 084</t>
  </si>
  <si>
    <t>CPUE 085</t>
  </si>
  <si>
    <t>CPUE 086</t>
  </si>
  <si>
    <t>CPUE 087</t>
  </si>
  <si>
    <t>CPUE 088</t>
  </si>
  <si>
    <t>CPUE 089</t>
  </si>
  <si>
    <t>CPUE 090</t>
  </si>
  <si>
    <t>CPUE 091</t>
  </si>
  <si>
    <t>CPUE 90</t>
  </si>
  <si>
    <t>CPUE 93</t>
  </si>
  <si>
    <t>CPUE 94</t>
  </si>
  <si>
    <t>Cabo Afumex Green 450/750V 4,0mm2 - conf. NBR 13248/13570</t>
  </si>
  <si>
    <t>Cabo Afumex Green 450/750V 2,5mm2 - conf. NBR 13248/13570</t>
  </si>
  <si>
    <t>Cabo  Afumex  1KV 1 Condutor 10mm2 -conf. NBR 6680/7286/6244</t>
  </si>
  <si>
    <t>CPUE 92</t>
  </si>
  <si>
    <t>Curva 90 graus, para eletroduto, em aço galvanizado, diam. 25 mm (1")</t>
  </si>
  <si>
    <t>CPUE 95</t>
  </si>
  <si>
    <t>CPUE 96</t>
  </si>
  <si>
    <t>CPUE 97</t>
  </si>
  <si>
    <t>CPUE 98</t>
  </si>
  <si>
    <t>CPUE 99</t>
  </si>
  <si>
    <t>CPUE 101</t>
  </si>
  <si>
    <t>CPUE 102</t>
  </si>
  <si>
    <t>CPUE 103</t>
  </si>
  <si>
    <t>CPUE 106</t>
  </si>
  <si>
    <t xml:space="preserve">Caixa de equalização com barramento </t>
  </si>
  <si>
    <t>Chumbador de aço, diam. 5/8", compr. 6", com porca</t>
  </si>
  <si>
    <t>Estopa comum embalagem de 200 gr</t>
  </si>
  <si>
    <t>Baseado nos coeficientes  de mão de obra CPU PINI 160603 e material CPU  SBC 210023</t>
  </si>
  <si>
    <t>CPUE 120</t>
  </si>
  <si>
    <t xml:space="preserve">Projeto As built </t>
  </si>
  <si>
    <t>Projeto as-built</t>
  </si>
  <si>
    <t>Baseado nos coeficientes  da CPU SBC 89</t>
  </si>
  <si>
    <t>CPUE 121</t>
  </si>
  <si>
    <t xml:space="preserve">Patch cord, categoria 5 E, extensão de  2,50m                                                                                                                                                                                                                                                                                                                                                                                                                                                           </t>
  </si>
  <si>
    <t>Baseado nos coeficientes da CPU  ORSE 11230</t>
  </si>
  <si>
    <t xml:space="preserve">Patch cord, categoria 5 E, extensão de  1,50m                                                                                                                                                                                                                                                                                                                                                                                                                                                           </t>
  </si>
  <si>
    <t xml:space="preserve">COT 12-1 </t>
  </si>
  <si>
    <t>COT 57-2</t>
  </si>
  <si>
    <t>COT 57-1</t>
  </si>
  <si>
    <t>COT. 046-2</t>
  </si>
  <si>
    <t>COT. 046-3</t>
  </si>
  <si>
    <t>COT. 046-4</t>
  </si>
  <si>
    <t>COT. 046-6</t>
  </si>
  <si>
    <t>COT. 046-7</t>
  </si>
  <si>
    <t>COT. 046-8</t>
  </si>
  <si>
    <t>COT. 046-9</t>
  </si>
  <si>
    <t>COT.74</t>
  </si>
  <si>
    <t>Sitema de climatização  - equipamentos</t>
  </si>
  <si>
    <t>COT. 93</t>
  </si>
  <si>
    <t>COT.82</t>
  </si>
  <si>
    <t>COT.83</t>
  </si>
  <si>
    <t>COT.84</t>
  </si>
  <si>
    <t>COT.85</t>
  </si>
  <si>
    <t>COT.86</t>
  </si>
  <si>
    <t>COT.88</t>
  </si>
  <si>
    <t>COT.89</t>
  </si>
  <si>
    <t>7.6</t>
  </si>
  <si>
    <t>CPUE 123</t>
  </si>
  <si>
    <t>Baseado nos coeficientes da CPU  SBC 202160</t>
  </si>
  <si>
    <t>Assento plástico Vogue Plus com abertura frontal AP 50.17 Deca ou similar</t>
  </si>
  <si>
    <t>Assento plástico Vogue Plus AP 50.17 Deca ou similar</t>
  </si>
  <si>
    <t>BDI GERAL:</t>
  </si>
  <si>
    <t>Preços Não Desonerados</t>
  </si>
  <si>
    <t>SERVIÇOS INICIAIS E ADMINISTRAÇÃO DA OBRA</t>
  </si>
  <si>
    <t>CIVIL/ARQUITETURA</t>
  </si>
  <si>
    <t xml:space="preserve">Louças e metais </t>
  </si>
  <si>
    <t>HIDROSSANITÁRIO</t>
  </si>
  <si>
    <t>SISTEMA DE CLIMATIZAÇÃO</t>
  </si>
  <si>
    <t>SISTEMA DE CONTROLE DE ACESSO</t>
  </si>
  <si>
    <t>ELÉTRICA E DADOS</t>
  </si>
  <si>
    <t>PCCI</t>
  </si>
  <si>
    <t>HIDRANTES</t>
  </si>
  <si>
    <t>SPRINKLERS</t>
  </si>
  <si>
    <t>SINAPI 87263</t>
  </si>
  <si>
    <t xml:space="preserve">Assento para bacia convencional </t>
  </si>
  <si>
    <t xml:space="preserve">Assento para bacia PNE </t>
  </si>
  <si>
    <t>SINAPI 86915</t>
  </si>
  <si>
    <t>COT.87</t>
  </si>
  <si>
    <t>COT.99</t>
  </si>
  <si>
    <t>COT.100</t>
  </si>
  <si>
    <t>Bomba de drenagem Ar Condicionado, capacidade de 12 litros /hora ou superiror, com reservatório secundário submersivel</t>
  </si>
  <si>
    <t>Tubo de aço carbono preto  3" sem costura</t>
  </si>
  <si>
    <t>Tubo de aço carbono preto  2.1/2" sem costura</t>
  </si>
  <si>
    <t>Tubo de aço carbono preto 2" sem costura</t>
  </si>
  <si>
    <t>Tubo de aço carbono preto  1 1/2" sem costura</t>
  </si>
  <si>
    <t>Tubo de aço carbono preto  1 1/4" sem costura</t>
  </si>
  <si>
    <t>4.18</t>
  </si>
  <si>
    <t>Tê PPR PN25 - 25X25mm</t>
  </si>
  <si>
    <t>Tê PPR PN25 - 32X32mm</t>
  </si>
  <si>
    <t>Tê para esgoto PVC CLASSE R 40 X 40 mm</t>
  </si>
  <si>
    <t>Tê para esgoto PVC CLASSE R   50x40 mm</t>
  </si>
  <si>
    <t>Tê em aço carbono  1 1/4"</t>
  </si>
  <si>
    <t>Tê em aço carbono  1 1/2"</t>
  </si>
  <si>
    <t>Tê em aço carbono 2"</t>
  </si>
  <si>
    <t>Tê em aço carbono  2 1/2"</t>
  </si>
  <si>
    <t>Tê em ferro galvanizado  6"</t>
  </si>
  <si>
    <t>SINAPI 102192</t>
  </si>
  <si>
    <t>Pedreiro c/encargos complementares</t>
  </si>
  <si>
    <t>Baseado nos coeficientes da CPU  SBC 23746</t>
  </si>
  <si>
    <t>1.7</t>
  </si>
  <si>
    <t>Baseado nos coeficientes da CPU  SBC 22237</t>
  </si>
  <si>
    <t>Batedor de aço inóx polido</t>
  </si>
  <si>
    <t>2.7.6</t>
  </si>
  <si>
    <t>Placa de impacto de porta em aço inóx 90 x 40cm</t>
  </si>
  <si>
    <t>Cola para inóx 1385</t>
  </si>
  <si>
    <t>Baseado nos coeficientes da CPU  SBC 202332</t>
  </si>
  <si>
    <t>CPUE 124</t>
  </si>
  <si>
    <t>Tanque de louça médio 40 litros</t>
  </si>
  <si>
    <t>Parafuso niquelado 3 1/2" c/porca, arruela e bucha</t>
  </si>
  <si>
    <t>Rejunte epóxi</t>
  </si>
  <si>
    <t>Base na CPU SINAPI 86872</t>
  </si>
  <si>
    <t>2.8.27</t>
  </si>
  <si>
    <t>Carpinteiro de esquadrias c/encargos complementares</t>
  </si>
  <si>
    <t>CPUE 126</t>
  </si>
  <si>
    <t>Auxiliar inst. mecânicas c/encargos complementares</t>
  </si>
  <si>
    <t>Base na CPU SBC 22033</t>
  </si>
  <si>
    <t>Talheiro/porta toalha de papel interfolheado - plástico ABS</t>
  </si>
  <si>
    <t>Porta papel higiênico em rolo - cromado</t>
  </si>
  <si>
    <t>Porta papel Deca Belle Epoque Tradicional, 2021.C, cromado ou equivalente</t>
  </si>
  <si>
    <t>CPUE 127</t>
  </si>
  <si>
    <t>Placa de responsabilidade técnica da obra</t>
  </si>
  <si>
    <t>Placa de obra em chapa galvanizada nº 22 adesivada</t>
  </si>
  <si>
    <t>Base na CPU SBC 16500</t>
  </si>
  <si>
    <t>Eletroimã micro de montagem superior, 300 lbs, 12/24V selec,
300ma@12vcc, monit. status, alumínio anodizado,  marca/modelo referência: Vault/300M</t>
  </si>
  <si>
    <t>Suporte LZ em alumínio anodizado, para eletroímãs 300M, com
regulagem,  marca/modelo referência: Vault/LZ300M</t>
  </si>
  <si>
    <t>Suporte U em alumínio anodizado, para eletroímas 300M, para porta de vidro até 10mm,  marca/modelo referência: Vault/U300M</t>
  </si>
  <si>
    <t>Acionador de emergência rearmável, NA/NF, c/ capa proteção e chave reset, verde,  marca/modelo referência: Vault/CP-32G</t>
  </si>
  <si>
    <t>Software base da versão PROFESSIONAL, marca/modelo referência: Vault/NXT-PRO</t>
  </si>
  <si>
    <t>Licença base que permite inclusão de estações de cadastramento de
visitantes (1 licença de estação inclusa),  marca/modelo referência: Vault/NXT-VSM</t>
  </si>
  <si>
    <t>Licença adicional de Leitor para controle de acesso, marca/modelo referência: Vault/NXT-PRO-RDR</t>
  </si>
  <si>
    <t>Leitoras de cartões: RDR, R10, ICLASS, SE REV E, NO PROX, STD, WIEGAND, marca/modelo referência: Vault/900NTNNEK00000</t>
  </si>
  <si>
    <t>Sensor de Intrusão de contato magnético para monitoramento de abertura ou fechamento de portas de emergência, marca/modelo referência: Mercato/SMSR9028</t>
  </si>
  <si>
    <t>Placa controladora para gerenciamento de 1 porta com alimentação PoE (Power Over Ethernet), marca/modelo referência: Vault/SCAIIP-CF-PoE-1P.</t>
  </si>
  <si>
    <t>Central de alarme endereçável 1 loop, Módulo com 1 saída NO/NC (1A@30VDC) com 1 entrada, com software embarcado, marca/modelo referência: Eaton/CF-1000</t>
  </si>
  <si>
    <t>Acionador manual endereçável, montagem saliente, IP42, Marca/modelo referência: Eaton/CBG370S</t>
  </si>
  <si>
    <t>Sirene endereçável com flash, marca/modelo referência: Eaton/CASB393</t>
  </si>
  <si>
    <t>Detector óptico endereçável</t>
  </si>
  <si>
    <t>Tampa protetora para acionador manual</t>
  </si>
  <si>
    <t>Módulo com 1 uma entrada, marca/modelo referência: Eaton/MCIM</t>
  </si>
  <si>
    <t>Módulo com 1 saída NO/NC (1A@30VDC), marca/modelo referência: Eaton/MCOM</t>
  </si>
  <si>
    <t>3.4.14</t>
  </si>
  <si>
    <t>3.4.15</t>
  </si>
  <si>
    <t>CPUE 128</t>
  </si>
  <si>
    <t>CPUE 129</t>
  </si>
  <si>
    <t>Base na CPU SBC 59445</t>
  </si>
  <si>
    <t>Medidor eletrônico de energia e insumos com TC incorporado BACnet, marca/modelo referência: Mercato/MEI-STD-B-TCI</t>
  </si>
  <si>
    <t>Câmeras de vigilância tipo IP bullet, fabricadas em metal 2MP, H.265, D-WDR, 3.6 mm lens, IP66, 20M IR, Intelligent Analytics, codificação ROI para a compressão de imagens e alimentadas através de rede POE, marca/modelo referência: motorola/MTIBM022301</t>
  </si>
  <si>
    <t>GRAVADOR NVR 16 IP channels 4K H.265, 2 SATA 4 sensors input / 1
alarm output, marca/modelo referência: motorola/MTR16IP</t>
  </si>
  <si>
    <t>xxon Next Universe, Face Recognition Camera License, 1 video channel, marca/modelo referência: Axxonsoft/SW-ANU-FRCT1-RTL</t>
  </si>
  <si>
    <t>CPUE 130</t>
  </si>
  <si>
    <t>CPUE 131</t>
  </si>
  <si>
    <t>7.11.3</t>
  </si>
  <si>
    <t>7.11.4</t>
  </si>
  <si>
    <t>Roteador BACnet, marca/modelo referência; Mercato MRB</t>
  </si>
  <si>
    <t>CPUE 137</t>
  </si>
  <si>
    <t>CPUE 138</t>
  </si>
  <si>
    <t>CPUE 140</t>
  </si>
  <si>
    <t>3.4.16</t>
  </si>
  <si>
    <t>COT. 103</t>
  </si>
  <si>
    <t>COT. 104</t>
  </si>
  <si>
    <t>COT. 105</t>
  </si>
  <si>
    <t>COT. 106</t>
  </si>
  <si>
    <t>COT. 107</t>
  </si>
  <si>
    <t>COT.110</t>
  </si>
  <si>
    <t>COT.109</t>
  </si>
  <si>
    <t>COT 111</t>
  </si>
  <si>
    <t>COT.108</t>
  </si>
  <si>
    <t xml:space="preserve">CPUE 04 </t>
  </si>
  <si>
    <t xml:space="preserve">Placa /chapa de gesso acartonado stadard, cor branca , E = 12,5 MM, 1200 X 2400 mm (L X C)                                                                                                                                                                                                                                                                                                                                                                                              </t>
  </si>
  <si>
    <t xml:space="preserve">Parafuso Drywall, em aço fostatizado, cabeça trombeta e ponta agulha (TA), compr. 45 mm </t>
  </si>
  <si>
    <t>Baseado nos coeficientes da CPU  SINAPI 96366</t>
  </si>
  <si>
    <t>Fornecimento e instalação de paredes de gesso acartonado Standard  com 2 faces simples - SEPTOS</t>
  </si>
  <si>
    <t>Baseado nos coeficientes da CPU  SINAPI 96360</t>
  </si>
  <si>
    <t>Fornecimento e instalação de paredes de gesso acartonado RU dupla (interna e externa), c/isolamento</t>
  </si>
  <si>
    <t>Baseado nos coeficientes mão de obra da CPU  SINAPI 161138.008</t>
  </si>
  <si>
    <t>Baseado nos coeficientes mão de obra da CPU  SINAPI 161138.003</t>
  </si>
  <si>
    <t>COT 120-3</t>
  </si>
  <si>
    <t>Quadro elétrico de distribuição com barramento trifásico de sobrepor, em chapa de aço galvanizado, conf. projeto, completo e com disjuntores</t>
  </si>
  <si>
    <t>Damper de regulagem 250X200 mm</t>
  </si>
  <si>
    <t>Damper de regulagem 200X150 mm</t>
  </si>
  <si>
    <t>Damper de regulagem 150X150 mm</t>
  </si>
  <si>
    <t>Damper de regulagem 250X150 mm</t>
  </si>
  <si>
    <t>5.6.3</t>
  </si>
  <si>
    <t>5.6.4</t>
  </si>
  <si>
    <t>Eletroduto de aço galvanizado pesado, ø 25mm (1") com uma emenda reta</t>
  </si>
  <si>
    <t>Quadro elétrico de força, comando e automação de fan coils, com inversor de frequência</t>
  </si>
  <si>
    <t>Interface infra-vermelha para equipamentos de HVAC ambiente com comunicação Modbus RTU, marca/modelo referência: Mercato/MIV</t>
  </si>
  <si>
    <t>Controlador programável com protoloco BACnet e Modbus (4DI, 2AI, 6DO, 2AO), marca/modelo referência: Mercato/MCP14-PRO</t>
  </si>
  <si>
    <t>Display remoto para linha ClimatePRO com sensor de temperatura incorporado, marca/modelo referência: Mercato/MDR-PRO</t>
  </si>
  <si>
    <t>Sensor de temperatura para ambiente com override manual tipo 10K - curva lll, marca/modelo referência: Belimo/01RT-5M-0</t>
  </si>
  <si>
    <t>Sensor de temperatura de duto com haste de 8" do tipo 10K - curva lll, marca/modelo referência: Belimo/01DT-5MP</t>
  </si>
  <si>
    <t>Sensor de pressão diferencial bidirecional (0,1, 0,15, 0,25, 0,5"wc), marca/modelo referência: Belimo/MSX-U10-IN</t>
  </si>
  <si>
    <t>Atuador para damper on/off e floating de 10Nm-24Vac, marca/modelo referência: Belimo/NMB24-3</t>
  </si>
  <si>
    <t>5.7.16</t>
  </si>
  <si>
    <t>5.7.18</t>
  </si>
  <si>
    <t>Quadro de Força de SOBREPOR montado em caixa de comando com dimensões mínimas de 750x550x220mm, com barramento para disjuntor caixa moldada e disjuntores DIN de FNT para 50A, comutadora tripolar, placa de montagem - Completo com 36 elementos, conforme projeto e memorial descritivo – CD.NB</t>
  </si>
  <si>
    <t>Quadro de Força de SOBREPOR montado em caixa de comando com dimensões mínimas de 600x600x220mm, com barramento para disjuntor caixa moldada e disjuntores DIN de FNT para 80A, placa de montagem - Completo com 36 elementos, conforme projeto e memorial descritivo – CD.AC</t>
  </si>
  <si>
    <t>Quadro de Força de SOBREPOR montado em caixa de comando com dimensões mínimas de 850x550x220mm, com barramento para disjuntor caixa moldada e disjuntores DIN de FNT para 100A, placa de montagem - Completo com 64 elementos, conforme projeto e memorial descritivo – CD.IT</t>
  </si>
  <si>
    <t>Quadro de Força de sobrepor montado em caixa de comando com dimensões mínimas de 850x550x220mm, com barramento para disjuntor caixa moldada e disjuntores DIN de FNT para 100A, placa de montagem - Completo com 64 elementos, conforme projeto e memorial descritivo – CD.IT</t>
  </si>
  <si>
    <t>Quadro de Força de sobrepor montado em caixa de comando com dimensões mínimas de 750x550x220mm, com barramento para disjuntor caixa moldada e disjuntores DIN de FNT para 50A, comutadora tripolar, placa de montagem - Completo com 36 elementos, conforme projeto e memorial descritivo – CD.NB</t>
  </si>
  <si>
    <t>7.2.5</t>
  </si>
  <si>
    <t>Condutor de cobre unipolar flexível, HF (Não Halogenado), 70°C 450/750V. Ref. Afitox, Afumex ou equivalente, seção 6,0mm²</t>
  </si>
  <si>
    <t>7.4.8</t>
  </si>
  <si>
    <t>7.4.9</t>
  </si>
  <si>
    <t>Adaptador 2x1"  específica de canaleta de aluminio 73x25mm. Ref. Dutotec</t>
  </si>
  <si>
    <t>Caixa de piso SQR Rotation Dupla tipo de Nível com espaço para 10 blocos, completa com janela prensa cabos, tampa lisa de alumínio polido e arremates de piso, parafusos reguladores, Ref. Dutotec</t>
  </si>
  <si>
    <t>Condulete de alumínio E ø 25mm (1")</t>
  </si>
  <si>
    <t>Curva vertical de inversão para eletrocalha 300x100mm</t>
  </si>
  <si>
    <t>Tê horizontal para eletrocalha 300x100mm</t>
  </si>
  <si>
    <t>Acoplamento para eletrocalha 300x100mm</t>
  </si>
  <si>
    <t>Eletrocalha metálica perfurada 75x50mm com tampa</t>
  </si>
  <si>
    <t>Tê horizontal para eletrocalha 75x50mm</t>
  </si>
  <si>
    <t>Emenda interna tipo "U" para eletrocalha 75x50mm</t>
  </si>
  <si>
    <t>Derivação lateral para eletroduto 1"</t>
  </si>
  <si>
    <t>Barra roscada zincada 1/4"</t>
  </si>
  <si>
    <t>Suporte horizontal  em aço galvanizaado para eletrocalha 150mmx75mm</t>
  </si>
  <si>
    <t>Suporte horizontal  em aço galvanizaado para eletrocalha 300mmx100mm</t>
  </si>
  <si>
    <t>Suporte horizontal  em aço galvanizaado para eletrocalha 75mmx50mm</t>
  </si>
  <si>
    <t>Guia de cabos horizontal de alta densidade 1U. Ref. Furukawa ou equivalente</t>
  </si>
  <si>
    <t>Patch Panel, Categoria 5e, com 48 portas, altura 1U, para Rack 19" padrão IEEE802.3. Ref. Furukawa ou equivalente</t>
  </si>
  <si>
    <t>Régua de 1Ux19" com 6 tomadas 2P+T de 20A/250V em ângulo de 45°, em conformidade com NBR 13249</t>
  </si>
  <si>
    <t xml:space="preserve">Patch Cord 2,5m, Categoria 5e </t>
  </si>
  <si>
    <t xml:space="preserve">Patch Cord 1,5m, Categoria 5e </t>
  </si>
  <si>
    <t>7.7.4</t>
  </si>
  <si>
    <t>7.7.19</t>
  </si>
  <si>
    <t>7.7.20</t>
  </si>
  <si>
    <t>7.7.21</t>
  </si>
  <si>
    <t>CPUE 142</t>
  </si>
  <si>
    <t>Cabo de cobre , flexível, classe 4 ou 5, isolação em PVC/A, antichama, 06/1 KV, seção nominal  6 mm2</t>
  </si>
  <si>
    <t>SINAPI 92005</t>
  </si>
  <si>
    <t>Demolição de revestimento cerâmico</t>
  </si>
  <si>
    <t>SINAPI 98593</t>
  </si>
  <si>
    <t>Botoeira</t>
  </si>
  <si>
    <t>6.20</t>
  </si>
  <si>
    <t>CPUE 143</t>
  </si>
  <si>
    <t>Baseado nos coeficientes  da CPU  SBC 62048</t>
  </si>
  <si>
    <t>COT.121</t>
  </si>
  <si>
    <t>Botoeira de liberação</t>
  </si>
  <si>
    <t xml:space="preserve">COT 045 </t>
  </si>
  <si>
    <t>SINAPI 95782</t>
  </si>
  <si>
    <t>COT.122</t>
  </si>
  <si>
    <t>CPUE 144</t>
  </si>
  <si>
    <t>CPUE 145</t>
  </si>
  <si>
    <t>Baseado nos coeficientes  da CPU  SBC 63620</t>
  </si>
  <si>
    <t>CPUE 146</t>
  </si>
  <si>
    <t>Baseado nos coeficientes  da CPU  SBC 63749</t>
  </si>
  <si>
    <t>CPUE 147</t>
  </si>
  <si>
    <t>Baseado nos coeficientes  da CPU  SBC 63037</t>
  </si>
  <si>
    <t xml:space="preserve">Tampa  metálica p/eletrocalha  75x50x300mm </t>
  </si>
  <si>
    <t>Eletrocalha metálica perfurada 75x50x300mm  chapa 18</t>
  </si>
  <si>
    <t>CPUE 148</t>
  </si>
  <si>
    <t>Chanfrada redução para eletrocalha 75x50mm</t>
  </si>
  <si>
    <t>Chanfrada redução para aeletrocalha 75x50mm</t>
  </si>
  <si>
    <t>CPUE 149</t>
  </si>
  <si>
    <t>CPUE 150</t>
  </si>
  <si>
    <t>CPUE 151</t>
  </si>
  <si>
    <t>Baseado nos coeficientes  da CPU  SBC 34537</t>
  </si>
  <si>
    <t>CPUE 152</t>
  </si>
  <si>
    <t>Baseado nos coeficientes  da CPU  SBC 62520</t>
  </si>
  <si>
    <t>CPUE 153</t>
  </si>
  <si>
    <t>CPUE 154</t>
  </si>
  <si>
    <t>Baseado nos coeficientes  da CPU  SBC 53778</t>
  </si>
  <si>
    <t>7.7.22</t>
  </si>
  <si>
    <t>7.7.23</t>
  </si>
  <si>
    <t>7.7.24</t>
  </si>
  <si>
    <t>7.9.9</t>
  </si>
  <si>
    <t>CPUE 155</t>
  </si>
  <si>
    <t>Baseado nos coeficientes  da CPU  SBC 59448</t>
  </si>
  <si>
    <t>SINAPI 100669</t>
  </si>
  <si>
    <t>Composições Analíticas com Preço unitário - Sem BDI</t>
  </si>
  <si>
    <t>Tipo</t>
  </si>
  <si>
    <t>Banco</t>
  </si>
  <si>
    <t>Código</t>
  </si>
  <si>
    <t>Classe/Tipo</t>
  </si>
  <si>
    <t>Unidade</t>
  </si>
  <si>
    <t>Quantidade</t>
  </si>
  <si>
    <t>Preço s/ BDI</t>
  </si>
  <si>
    <t>Total</t>
  </si>
  <si>
    <t xml:space="preserve">1.1 </t>
  </si>
  <si>
    <t>Composição</t>
  </si>
  <si>
    <t xml:space="preserve">ENGENHEIRO CIVIL DE OBRA PLENO (MENSALISTA)  </t>
  </si>
  <si>
    <t>Mão de Obra</t>
  </si>
  <si>
    <t>Material</t>
  </si>
  <si>
    <t>Equipamento</t>
  </si>
  <si>
    <t>Composição Auxiliar</t>
  </si>
  <si>
    <t>SEDI - SERVICOS DIVERSOS</t>
  </si>
  <si>
    <t xml:space="preserve">1.2 </t>
  </si>
  <si>
    <t>ENGENHEIRO ELETRICISTA COM ENCARGOS COMPLEMENTARES</t>
  </si>
  <si>
    <t xml:space="preserve">ENGENHEIRO ELETRICISTA (MENSALISTA)  </t>
  </si>
  <si>
    <t>CURSO DE CAPACITAÇÃO PARA ENGENHEIRO ELETRICISTA (ENCARGOS COMPLEMENTARES) - MENSALISTA</t>
  </si>
  <si>
    <t xml:space="preserve">1.3 </t>
  </si>
  <si>
    <t xml:space="preserve">MESTRE DE OBRAS (MENSALISTA)  </t>
  </si>
  <si>
    <t xml:space="preserve">1.4 </t>
  </si>
  <si>
    <t xml:space="preserve">TECNICO EM SEGURANCA DO TRABALHO (MENSALISTA) </t>
  </si>
  <si>
    <t xml:space="preserve">1.5 </t>
  </si>
  <si>
    <t xml:space="preserve">SERVENTE DE OBRAS (MENSALISTA)  </t>
  </si>
  <si>
    <t xml:space="preserve">EPI - FAMILIA SERVENTE - MENSALISTA (ENCARGOS COMPLEMENTARES - COLETADO CAIXA) </t>
  </si>
  <si>
    <t xml:space="preserve">2.1.1 </t>
  </si>
  <si>
    <t>REMOÇÃO DE VIDRO TEMPERADO FIXADO EM PERFIL U. AF_01/2021</t>
  </si>
  <si>
    <t>VIDRACEIRO COM ENCARGOS COMPLEMENTARES</t>
  </si>
  <si>
    <t xml:space="preserve">2.1.2 </t>
  </si>
  <si>
    <t xml:space="preserve">2.1.3 </t>
  </si>
  <si>
    <t xml:space="preserve">2.1.4 </t>
  </si>
  <si>
    <t xml:space="preserve">2.1.5 </t>
  </si>
  <si>
    <t xml:space="preserve">2.1.6 </t>
  </si>
  <si>
    <t xml:space="preserve">2.1.7 </t>
  </si>
  <si>
    <t xml:space="preserve">2.1.8 </t>
  </si>
  <si>
    <t xml:space="preserve">2.1.9 </t>
  </si>
  <si>
    <t xml:space="preserve">2.1.10 </t>
  </si>
  <si>
    <t xml:space="preserve">2.1.11 </t>
  </si>
  <si>
    <t xml:space="preserve">2.1.12 </t>
  </si>
  <si>
    <t xml:space="preserve">2.1.13 </t>
  </si>
  <si>
    <t xml:space="preserve">2.1.14 </t>
  </si>
  <si>
    <t xml:space="preserve">2.1.15 </t>
  </si>
  <si>
    <t xml:space="preserve">2.1.16 </t>
  </si>
  <si>
    <t xml:space="preserve">2.1.17 </t>
  </si>
  <si>
    <t>CHOR - CUSTOS HORÁRIOS DE MÁQUINAS E EQUIPAMENTOS</t>
  </si>
  <si>
    <t xml:space="preserve">2.1.18 </t>
  </si>
  <si>
    <t>MOVIMENTO DE TERRA</t>
  </si>
  <si>
    <t xml:space="preserve">2.2.2.1 </t>
  </si>
  <si>
    <t xml:space="preserve">PINO DE ACO COM FURO, HASTE = 27 MM (ACAO DIRETA)  </t>
  </si>
  <si>
    <t xml:space="preserve">2.2.2.2 </t>
  </si>
  <si>
    <t xml:space="preserve">2.2.2.3 </t>
  </si>
  <si>
    <t xml:space="preserve">2.4.1 </t>
  </si>
  <si>
    <t xml:space="preserve">2.4.2 </t>
  </si>
  <si>
    <t xml:space="preserve">ADITIVO ADESIVO LIQUIDO PARA ARGAMASSAS DE REVESTIMENTOS CIMENTICIOS  </t>
  </si>
  <si>
    <t xml:space="preserve">2.4.3 </t>
  </si>
  <si>
    <t xml:space="preserve">PISO PORCELANATO, BORDA RETA, EXTRA, FORMATO MAIOR QUE 2025 CM2  </t>
  </si>
  <si>
    <t xml:space="preserve">2.4.4 </t>
  </si>
  <si>
    <t xml:space="preserve">2.5.1 </t>
  </si>
  <si>
    <t xml:space="preserve">2.5.2 </t>
  </si>
  <si>
    <t xml:space="preserve">ARGAMASSA COLANTE AC I PARA CERAMICAS  </t>
  </si>
  <si>
    <t xml:space="preserve">2.6.1 </t>
  </si>
  <si>
    <t xml:space="preserve">SELADOR ACRILICO PAREDES INTERNAS/EXTERNAS  </t>
  </si>
  <si>
    <t xml:space="preserve">2.6.2 </t>
  </si>
  <si>
    <t xml:space="preserve">LIXA EM FOLHA PARA PAREDE OU MADEIRA, NUMERO 120 (COR VERMELHA)  </t>
  </si>
  <si>
    <t xml:space="preserve">2.6.3 </t>
  </si>
  <si>
    <t xml:space="preserve">TINTA ACRILICA PREMIUM, COR BRANCO FOSCO  </t>
  </si>
  <si>
    <t xml:space="preserve">2.6.4 </t>
  </si>
  <si>
    <t xml:space="preserve">2.7.1 </t>
  </si>
  <si>
    <t>ESQV - ESQUADRIAS/FERRAGENS/VIDROS</t>
  </si>
  <si>
    <t xml:space="preserve">2.7.2 </t>
  </si>
  <si>
    <t xml:space="preserve">2.7.3 </t>
  </si>
  <si>
    <t xml:space="preserve">2.7.4 </t>
  </si>
  <si>
    <t xml:space="preserve">PREGO DE ACO POLIDO COM CABECA 16 X 24 (2 1/4 X 12)  </t>
  </si>
  <si>
    <t>GUARNICAO/ ALIZAR/ VISTA MACICA, E= *1* CM, L= *4,5* CM, EM CEDRINHO/ ANGELIM COMERCIAL/  EUCALIPTO/ CURUPIXA/ PEROBA/ CUMARU OU EQUIVALENTE DA REGIAO</t>
  </si>
  <si>
    <t xml:space="preserve">2.8.1 </t>
  </si>
  <si>
    <t>INHI - INSTALACOES HIDRO SANITARIAS</t>
  </si>
  <si>
    <t xml:space="preserve">2.8.2 </t>
  </si>
  <si>
    <t xml:space="preserve">2.8.3 </t>
  </si>
  <si>
    <t xml:space="preserve">FITA VEDA ROSCA EM ROLOS DE 18 MM X 10 M (L X C)  </t>
  </si>
  <si>
    <t xml:space="preserve">2.8.4 </t>
  </si>
  <si>
    <t xml:space="preserve">2.8.5 </t>
  </si>
  <si>
    <t xml:space="preserve">ACABAMENTO CROMADO PARA REGISTRO PEQUENO, 1/2 " OU 3/4 "  </t>
  </si>
  <si>
    <t xml:space="preserve">2.8.6 </t>
  </si>
  <si>
    <t xml:space="preserve">LAVATORIO/CUBA DE EMBUTIR OVAL LOUCA BRANCA SEM LADRAO *50 X 35* CM  </t>
  </si>
  <si>
    <t xml:space="preserve">2.8.7 </t>
  </si>
  <si>
    <t xml:space="preserve">LAVATORIO LOUCA BRANCA SUSPENSO *40 X 30* CM  </t>
  </si>
  <si>
    <t xml:space="preserve">2.8.8 </t>
  </si>
  <si>
    <t xml:space="preserve">TORNEIRA CROMADA DE MESA PARA LAVATORIO, BICA ALTA (REF 1195)  </t>
  </si>
  <si>
    <t xml:space="preserve">2.8.9 </t>
  </si>
  <si>
    <t xml:space="preserve">2.8.10 </t>
  </si>
  <si>
    <t xml:space="preserve">SIFAO EM METAL CROMADO PARA PIA OU LAVATORIO, 1 X 1.1/2 "  </t>
  </si>
  <si>
    <t xml:space="preserve">2.8.11 </t>
  </si>
  <si>
    <t xml:space="preserve">VALVULA EM METAL CROMADO PARA TANQUE, 1.1/2 " SEM LADRAO  </t>
  </si>
  <si>
    <t xml:space="preserve">2.8.12 </t>
  </si>
  <si>
    <t>VÁLVULA EM METAL CROMADO TIPO AMERICANA 3.1/2 X 1.1/2 PARA PIA - FORNECIMENTO E INSTALAÇÃO. AF_01/2020</t>
  </si>
  <si>
    <t xml:space="preserve">VALVULA EM METAL CROMADO PARA PIA AMERICANA 3.1/2 X 1.1/2 "  </t>
  </si>
  <si>
    <t xml:space="preserve">2.8.13 </t>
  </si>
  <si>
    <t xml:space="preserve">ENGATE / RABICHO FLEXIVEL INOX 1/2 " X 30 CM  </t>
  </si>
  <si>
    <t xml:space="preserve">2.8.14 </t>
  </si>
  <si>
    <t xml:space="preserve">2.8.15 </t>
  </si>
  <si>
    <t xml:space="preserve">MICTORIO SIFONADO LOUCA BRANCA SEM COMPLEMENTOS  </t>
  </si>
  <si>
    <t xml:space="preserve">2.8.16 </t>
  </si>
  <si>
    <t xml:space="preserve">2.8.17 </t>
  </si>
  <si>
    <t xml:space="preserve">3.1.1 </t>
  </si>
  <si>
    <t xml:space="preserve">3.2.1 </t>
  </si>
  <si>
    <t xml:space="preserve">3.3.1 </t>
  </si>
  <si>
    <t xml:space="preserve">FITA VEDA ROSCA EM ROLOS DE 18 MM X 50 M (L X C)  </t>
  </si>
  <si>
    <t xml:space="preserve">CANOPLA ACABAMENTO CROMADO PARA INSTALACAO DE SPRINKLER, SOB FORRO, 15 MM  </t>
  </si>
  <si>
    <t xml:space="preserve">3.3.2 </t>
  </si>
  <si>
    <t xml:space="preserve">3.3.3 </t>
  </si>
  <si>
    <t xml:space="preserve">3.3.4 </t>
  </si>
  <si>
    <t xml:space="preserve">3.3.5 </t>
  </si>
  <si>
    <t xml:space="preserve">3.3.6 </t>
  </si>
  <si>
    <t xml:space="preserve">3.3.7 </t>
  </si>
  <si>
    <t xml:space="preserve">3.3.8 </t>
  </si>
  <si>
    <t xml:space="preserve">3.3.9 </t>
  </si>
  <si>
    <t xml:space="preserve">3.3.10 </t>
  </si>
  <si>
    <t xml:space="preserve">3.3.11 </t>
  </si>
  <si>
    <t xml:space="preserve">4.1 </t>
  </si>
  <si>
    <t xml:space="preserve">TUBO PPR, CLASSE PN 25, DN 25 MM, PARA AGUA QUENTE E FRIA PREDIAL </t>
  </si>
  <si>
    <t xml:space="preserve">4.2 </t>
  </si>
  <si>
    <t xml:space="preserve">JOELHO PPR, 90 GRAUS, SOLDAVEL, DN 25 MM, PARA AGUA QUENTE PREDIAL </t>
  </si>
  <si>
    <t xml:space="preserve">4.3 </t>
  </si>
  <si>
    <t xml:space="preserve">TE NORMAL, PPR, SOLDAVEL, 90 GRAUS, DN 25 X 25 X 25 MM, PARA AGUA QUENTE PREDIAL </t>
  </si>
  <si>
    <t xml:space="preserve">4.4 </t>
  </si>
  <si>
    <t xml:space="preserve">TE NORMAL, PPR, SOLDAVEL, 90 GRAUS, DN 32 X 32 X 32 MM, PARA AGUA QUENTE PREDIAL </t>
  </si>
  <si>
    <t xml:space="preserve">4.5 </t>
  </si>
  <si>
    <t xml:space="preserve">4.6 </t>
  </si>
  <si>
    <t xml:space="preserve">TUBO PPR, CLASSE PN 25, DN 32 MM, PARA AGUA QUENTE E FRIA PREDIAL </t>
  </si>
  <si>
    <t xml:space="preserve">4.7 </t>
  </si>
  <si>
    <t xml:space="preserve">JOELHO PPR, 90 GRAUS, SOLDAVEL, DN 32 MM, PARA AGUA QUENTE PREDIAL </t>
  </si>
  <si>
    <t xml:space="preserve">4.8 </t>
  </si>
  <si>
    <t xml:space="preserve">LIXA D'AGUA EM FOLHA, GRAO 100 </t>
  </si>
  <si>
    <t xml:space="preserve">4.9 </t>
  </si>
  <si>
    <t xml:space="preserve">ADESIVO PLASTICO PARA PVC, FRASCO COM 850 GR  </t>
  </si>
  <si>
    <t xml:space="preserve">SOLUCAO LIMPADORA PARA PVC, FRASCO COM 1000 CM3  </t>
  </si>
  <si>
    <t xml:space="preserve">4.10 </t>
  </si>
  <si>
    <t xml:space="preserve">4.11 </t>
  </si>
  <si>
    <t xml:space="preserve">4.12 </t>
  </si>
  <si>
    <t xml:space="preserve">ANEL BORRACHA, DN 50 MM, PARA TUBO SERIE REFORCADA ESGOTO PREDIAL  </t>
  </si>
  <si>
    <t xml:space="preserve">4.13 </t>
  </si>
  <si>
    <t xml:space="preserve">4.14 </t>
  </si>
  <si>
    <t xml:space="preserve">ANEL BORRACHA PARA TUBO ESGOTO PREDIAL, DN 100 MM (NBR 5688)  </t>
  </si>
  <si>
    <t xml:space="preserve">4.15 </t>
  </si>
  <si>
    <t xml:space="preserve">4.16 </t>
  </si>
  <si>
    <t xml:space="preserve">4.17 </t>
  </si>
  <si>
    <t xml:space="preserve">4.18 </t>
  </si>
  <si>
    <t xml:space="preserve">4.19 </t>
  </si>
  <si>
    <t xml:space="preserve">4.20 </t>
  </si>
  <si>
    <t xml:space="preserve">TE SOLDAVEL, PVC, 90 GRAUS, 40 MM, PARA AGUA FRIA PREDIAL (NBR 5648)  </t>
  </si>
  <si>
    <t xml:space="preserve">4.21 </t>
  </si>
  <si>
    <t xml:space="preserve">TE DE REDUCAO, PVC, SOLDAVEL, 90 GRAUS, 50 MM X 40 MM, PARA AGUA FRIA PREDIAL  </t>
  </si>
  <si>
    <t xml:space="preserve">4.22 </t>
  </si>
  <si>
    <t xml:space="preserve">CAIXA SIFONADA PVC, 100 X 100 X 50 MM, COM GRELHA REDONDA BRANCA  </t>
  </si>
  <si>
    <t xml:space="preserve">4.23 </t>
  </si>
  <si>
    <t xml:space="preserve">RALO SIFONADO PVC CILINDRICO, 100 X 40 MM,  COM GRELHA REDONDA BRANCA  </t>
  </si>
  <si>
    <t xml:space="preserve">4.24 </t>
  </si>
  <si>
    <t>DRENAGEM/OBRAS DE CONTENCAO/POCOS DE VISITA E CAIXAS</t>
  </si>
  <si>
    <t xml:space="preserve">7.3.1 </t>
  </si>
  <si>
    <t>INSTALACAO ELETRICA/ELETRIFICACAO E ILUMINACAO EXTERNA</t>
  </si>
  <si>
    <t xml:space="preserve">LAMPADA LED 6 W BIVOLT BRANCA, FORMATO TRADICIONAL (BASE E27)  </t>
  </si>
  <si>
    <t xml:space="preserve">7.4.1 </t>
  </si>
  <si>
    <t>INEL - INSTALACAO ELETRICA/ELETRIFICACAO E ILUMINACAO EXTERNA</t>
  </si>
  <si>
    <t xml:space="preserve">7.4.2 </t>
  </si>
  <si>
    <t xml:space="preserve">7.4.3 </t>
  </si>
  <si>
    <t xml:space="preserve">7.4.4 </t>
  </si>
  <si>
    <t xml:space="preserve">7.4.5 </t>
  </si>
  <si>
    <t xml:space="preserve">7.4.6 </t>
  </si>
  <si>
    <t xml:space="preserve">7.4.7 </t>
  </si>
  <si>
    <t xml:space="preserve">7.4.8 </t>
  </si>
  <si>
    <t>TOMADA MÉDIA DE EMBUTIR (2 MÓDULOS), 2P+T 20 A, INCLUINDO SUPORTE E PLACA - FORNECIMENTO E INSTALAÇÃO. AF_12/2015</t>
  </si>
  <si>
    <t>TOMADA MÉDIA DE EMBUTIR (2 MÓDULOS), 2P+T 20 A, SEM SUPORTE E SEM PLACA - FORNECIMENTO E INSTALAÇÃO. AF_12/2015</t>
  </si>
  <si>
    <t xml:space="preserve">7.4.9 </t>
  </si>
  <si>
    <t xml:space="preserve">7.6.1 </t>
  </si>
  <si>
    <t xml:space="preserve">7.6.2 </t>
  </si>
  <si>
    <t xml:space="preserve">CONDULETE DE ALUMINIO TIPO LR, PARA ELETRODUTO ROSCAVEL DE 1", COM TAMPA CEGA  </t>
  </si>
  <si>
    <t xml:space="preserve">7.6.3 </t>
  </si>
  <si>
    <t xml:space="preserve">CONDULETE DE ALUMINIO TIPO T, PARA ELETRODUTO ROSCAVEL DE 1", COM TAMPA CEGA  </t>
  </si>
  <si>
    <t xml:space="preserve">7.6.4 </t>
  </si>
  <si>
    <t xml:space="preserve">CONDULETE DE ALUMINIO TIPO X, PARA ELETRODUTO ROSCAVEL DE 1", COM TAMPA CEGA  </t>
  </si>
  <si>
    <t xml:space="preserve">7.6.5 </t>
  </si>
  <si>
    <t>CONDULETE DE ALUMÍNIO, TIPO E, ELETRODUTO DE AÇO GALVANIZADO DN 25 MM (1''), APARENTE - FORNECIMENTO E INSTALAÇÃO. AF_11/2016_P</t>
  </si>
  <si>
    <t xml:space="preserve">CONDULETE DE ALUMINIO TIPO E, PARA ELETRODUTO ROSCAVEL DE 1", COM TAMPA CEGA  </t>
  </si>
  <si>
    <t xml:space="preserve">7.8.1 </t>
  </si>
  <si>
    <t xml:space="preserve">CABO DE COBRE NU 16 MM2 MEIO-DURO  </t>
  </si>
  <si>
    <t xml:space="preserve">7.9.1 </t>
  </si>
  <si>
    <t xml:space="preserve">7.9.2 </t>
  </si>
  <si>
    <t xml:space="preserve">CABO DE PAR TRANCADO UTP, 4 PARES, CATEGORIA 5E </t>
  </si>
  <si>
    <t xml:space="preserve">7.9.3 </t>
  </si>
  <si>
    <t>PATCH PANEL 48 PORTAS, CATEGORIA 5E - FORNECIMENTO E INSTALAÇÃO. AF_11/2019</t>
  </si>
  <si>
    <t xml:space="preserve">PATCH PANEL, 48 PORTAS, CATEGORIA 5E, COM RACKS DE 19" E 2 U DE ALTURA </t>
  </si>
  <si>
    <t>Composições Auxiliares</t>
  </si>
  <si>
    <t>[1]</t>
  </si>
  <si>
    <t xml:space="preserve">ADAPTADOR PVC SOLDAVEL CURTO COM BOLSA E ROSCA, 25 MM X 3/4", PARA AGUA FRIA  </t>
  </si>
  <si>
    <t>[2]</t>
  </si>
  <si>
    <t xml:space="preserve">AJUDANTE ESPECIALIZADO  </t>
  </si>
  <si>
    <t>Serviço</t>
  </si>
  <si>
    <t>Taxa</t>
  </si>
  <si>
    <t xml:space="preserve">EPI - FAMILIA SERVENTE - HORISTA (ENCARGOS COMPLEMENTARES - COLETADO CAIXA) </t>
  </si>
  <si>
    <t>CURSO DE CAPACITAÇÃO PARA AJUDANTE ESPECIALIZADO (ENCARGOS COMPLEMENTARES) - HORISTA</t>
  </si>
  <si>
    <t>[3]</t>
  </si>
  <si>
    <t>GUARNICAO/ ALIZAR/ VISTA MACICA, E= *1* CM, L= *4,5* CM, EM PINUS/ TAUARI/ VIROLA OU EQUIVALENTE DA REGIAO</t>
  </si>
  <si>
    <t xml:space="preserve">PREGO DE ACO POLIDO SEM CABECA 15 X 15 (1 1/4 X 13)  </t>
  </si>
  <si>
    <t>[4]</t>
  </si>
  <si>
    <t>ARGAMASSA INDUSTRIALIZADA MULTIUSO, PARA REVESTIMENTO INTERNO E EXTERNO E ASSENTAMENTO DE BLOCOS DIVERSOS</t>
  </si>
  <si>
    <t>OPERADOR DE BETONEIRA ESTACIONÁRIA/MISTURADOR COM ENCARGOS COMPLEMENTARES</t>
  </si>
  <si>
    <t>PROJETOR DE ARGAMASSA, CAPACIDADE DE PROJEÇÃO 1,5 M3/H, ALCANCE DE 30 ATÉ 60 M, MOTOR ELÉTRICO POTÊNCIA 7,5 HP - CHP DIURNO. AF_06/2014</t>
  </si>
  <si>
    <t>PROJETOR DE ARGAMASSA, CAPACIDADE DE PROJEÇÃO 1,5 M3/H, ALCANCE DE 30 ATÉ 60 M, MOTOR ELÉTRICO POTÊNCIA 7,5 HP - CHI DIURNO. AF_06/2014</t>
  </si>
  <si>
    <t>[5]</t>
  </si>
  <si>
    <t xml:space="preserve">AREIA MEDIA - POSTO JAZIDA/FORNECEDOR (RETIRADO NA JAZIDA, SEM TRANSPORTE)  </t>
  </si>
  <si>
    <t xml:space="preserve">CAL HIDRATADA CH-I PARA ARGAMASSAS  </t>
  </si>
  <si>
    <t xml:space="preserve">CIMENTO PORTLAND COMPOSTO CP II-32  </t>
  </si>
  <si>
    <t>[6]</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</si>
  <si>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</si>
  <si>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</si>
  <si>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[7]</t>
  </si>
  <si>
    <t xml:space="preserve">AREIA GROSSA - POSTO JAZIDA/FORNECEDOR (RETIRADO NA JAZIDA, SEM TRANSPORTE)  </t>
  </si>
  <si>
    <t>[8]</t>
  </si>
  <si>
    <t>ARGAMASSA TRAÇO 1:3 (EM VOLUME DE CIMENTO E AREIA MÉDIA ÚMIDA), PREPARO MANUAL. AF_08/2019</t>
  </si>
  <si>
    <t>[9]</t>
  </si>
  <si>
    <t xml:space="preserve">AJUDANTE DE ELETRICISTA  </t>
  </si>
  <si>
    <t xml:space="preserve">EPI - FAMILIA ELETRICISTA - HORISTA (ENCARGOS COMPLEMENTARES - COLETADO CAIXA) </t>
  </si>
  <si>
    <t>[10]</t>
  </si>
  <si>
    <t xml:space="preserve">AUXILIAR DE ENCANADOR OU BOMBEIRO HIDRAULICO  </t>
  </si>
  <si>
    <t xml:space="preserve">EPI - FAMILIA ENCANADOR - HORISTA (ENCARGOS COMPLEMENTARES - COLETADO CAIXA) </t>
  </si>
  <si>
    <t>[11]</t>
  </si>
  <si>
    <t>AZULEJISTA OU LADRILHEIRO</t>
  </si>
  <si>
    <t>FERRAMENTAS - FAMILIA PEDREIRO - HORISTA (ENCARGOS COMPLEMENTARES - COLETADO CAIXA)</t>
  </si>
  <si>
    <t xml:space="preserve">EPI - FAMILIA PEDREIRO - HORISTA (ENCARGOS COMPLEMENTARES - COLETADO CAIXA) </t>
  </si>
  <si>
    <t>CURSO DE CAPACITAÇÃO PARA AZULEJISTA OU LADRILHISTA (ENCARGOS COMPLEMENTARES) - HORISTA</t>
  </si>
  <si>
    <t>[12]</t>
  </si>
  <si>
    <t xml:space="preserve">PREGO DE ACO POLIDO COM CABECA 18 X 27 (2 1/2 X 10)  </t>
  </si>
  <si>
    <t xml:space="preserve">TINTA ASFALTICA IMPERMEABILIZANTE DISPERSA EM AGUA, PARA MATERIAIS CIMENTICIOS  </t>
  </si>
  <si>
    <t>BATENTE PARA PORTA DE MADEIRA, PADRÃO POPULAR - FORNECIMENTO E MONTAGEM. AF_12/2019</t>
  </si>
  <si>
    <t>[13]</t>
  </si>
  <si>
    <t>BATENTE/ PORTAL/ ADUELA/ MARCO MACICO, E= *3* CM, L= *13* CM, *60 CM A 120* CM X *210* CM, EM PINUS/ TAUARI/ VIROLA OU EQUIVALENTE DA REGIAO (NAO INCLUI ALIZARES)</t>
  </si>
  <si>
    <t>JG</t>
  </si>
  <si>
    <t xml:space="preserve">PREGO DE ACO POLIDO COM CABECA 12 X 12  </t>
  </si>
  <si>
    <t xml:space="preserve">PREGO DE ACO POLIDO COM CABECA 18 X 30 (2 3/4 X 10)  </t>
  </si>
  <si>
    <t>[14]</t>
  </si>
  <si>
    <t>CUSTOS HORÁRIOS DE MÁQUINAS E EQUIPAMENTOS</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</si>
  <si>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</si>
  <si>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</si>
  <si>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[15]</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</si>
  <si>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</si>
  <si>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</si>
  <si>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[16]</t>
  </si>
  <si>
    <t>BETONEIRA CAPACIDADE NOMINAL 400 L, CAPACIDADE DE MISTURA  280 L, MOTOR ELETRICO TRIFASICO 220/380 V POTENCIA 2 CV, SEM CARREGADOR</t>
  </si>
  <si>
    <t>[17]</t>
  </si>
  <si>
    <t>[18]</t>
  </si>
  <si>
    <t>[19]</t>
  </si>
  <si>
    <t xml:space="preserve">ENERGIA ELETRICA ATE 2000 KWH INDUSTRIAL, SEM DEMANDA  </t>
  </si>
  <si>
    <t>KW/H</t>
  </si>
  <si>
    <t>[20]</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</si>
  <si>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</si>
  <si>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</si>
  <si>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MOTORISTA DE BASCULANTE COM ENCARGOS COMPLEMENTARES</t>
  </si>
  <si>
    <t>CAMINHÃO BASCULANTE 6 M3 TOCO, PESO BRUTO TOTAL 16.000 KG, CARGA ÚTIL MÁXIMA 11.130 KG, DISTÂNCIA ENTRE EIXOS 5,36 M, POTÊNCIA 185 CV, INCLUSIVE CAÇAMBA METÁLICA - IMPOSTOS E SEGUROS. AF_06/2014</t>
  </si>
  <si>
    <t>[21]</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</si>
  <si>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</si>
  <si>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</si>
  <si>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[22]</t>
  </si>
  <si>
    <t>CACAMBA METALICA BASCULANTE COM CAPACIDADE DE 6 M3 (INCLUI MONTAGEM, NAO INCLUI CAMINHAO)</t>
  </si>
  <si>
    <t>CAMINHAO TOCO, PESO BRUTO TOTAL 16000 KG, CARGA UTIL MAXIMA 11130 KG, DISTANCIA ENTRE EIXOS 5,36 M, POTENCIA 185 CV (INCLUI CABINE E CHASSI, NAO INCLUI CARROCERIA)</t>
  </si>
  <si>
    <t>[23]</t>
  </si>
  <si>
    <t>[24]</t>
  </si>
  <si>
    <t>[25]</t>
  </si>
  <si>
    <t>[26]</t>
  </si>
  <si>
    <t xml:space="preserve">OLEO DIESEL COMBUSTIVEL COMUM  </t>
  </si>
  <si>
    <t>[27]</t>
  </si>
  <si>
    <t xml:space="preserve">CARPINTEIRO DE ESQUADRIAS  </t>
  </si>
  <si>
    <t>FERRAMENTAS - FAMILIA CARPINTEIRO DE FORMAS - HORISTA (ENCARGOS COMPLEMENTARES - COLETADO CAIXA)</t>
  </si>
  <si>
    <t>EPI - FAMILIA CARPINTEIRO DE FORMAS - HORISTA (ENCARGOS COMPLEMENTARES - COLETADO CAIXA)</t>
  </si>
  <si>
    <t>CURSO DE CAPACITAÇÃO PARA CARPINTEIRO DE ESQUADRIA (ENCARGOS COMPLEMENTARES) - HORISTA</t>
  </si>
  <si>
    <t>[28]</t>
  </si>
  <si>
    <t xml:space="preserve">CARPINTEIRO DE FORMAS  </t>
  </si>
  <si>
    <t>CURSO DE CAPACITAÇÃO PARA CARPINTEIRO DE FÔRMAS (ENCARGOS COMPLEMENTARES) - HORISTA</t>
  </si>
  <si>
    <t>[29]</t>
  </si>
  <si>
    <t>[30]</t>
  </si>
  <si>
    <t>[31]</t>
  </si>
  <si>
    <t>[32]</t>
  </si>
  <si>
    <t>[33]</t>
  </si>
  <si>
    <t>[34]</t>
  </si>
  <si>
    <t>[35]</t>
  </si>
  <si>
    <t xml:space="preserve">ELETRICISTA  </t>
  </si>
  <si>
    <t>[36]</t>
  </si>
  <si>
    <t xml:space="preserve">ENCANADOR OU BOMBEIRO HIDRAULICO  </t>
  </si>
  <si>
    <t>[37]</t>
  </si>
  <si>
    <t>[38]</t>
  </si>
  <si>
    <t>[39]</t>
  </si>
  <si>
    <t>CURSO DE CAPACITAÇÃO PARA GESSEIRO (ENCARGOS COMPLEMENTARES) - HORISTA</t>
  </si>
  <si>
    <t xml:space="preserve">GESSEIRO  </t>
  </si>
  <si>
    <t>[40]</t>
  </si>
  <si>
    <t>CURSO DE CAPACITAÇÃO PARA IMPERMEABILIZADOR (ENCARGOS COMPLEMENTARES) - HORISTA</t>
  </si>
  <si>
    <t xml:space="preserve">IMPERMEABILIZADOR  </t>
  </si>
  <si>
    <t>[41]</t>
  </si>
  <si>
    <t>CURSO DE CAPACITAÇÃO PARA MARMORISTA/GRANITEIRO (ENCARGOS COMPLEMENTARES) - HORISTA</t>
  </si>
  <si>
    <t xml:space="preserve">MARMORISTA / GRANITEIRO  </t>
  </si>
  <si>
    <t>[42]</t>
  </si>
  <si>
    <t>[43]</t>
  </si>
  <si>
    <t>CURSO DE CAPACITAÇÃO PARA MONTADOR DE ESTRUTURA METÁLICA (ENCARGOS COMPLEMENTARES) - HORISTA</t>
  </si>
  <si>
    <t>MONTADOR DE ESTRUTURAS METALICAS</t>
  </si>
  <si>
    <t>[44]</t>
  </si>
  <si>
    <t>CURSO DE CAPACITAÇÃO PARA MOTORISTA DE BASCULANTE (ENCARGOS COMPLEMENTARES) - HORISTA</t>
  </si>
  <si>
    <t>MOTORISTA DE CAMINHAO-BASCULANTE</t>
  </si>
  <si>
    <t>[45]</t>
  </si>
  <si>
    <t>CURSO DE CAPACITAÇÃO PARA OPERADOR DE BETONEIRA ESTACIONÁRIA/MISTURADOR (ENCARGOS COMPLEMENTARES) - HORISTA</t>
  </si>
  <si>
    <t>OPERADOR DE BETONEIRA ESTACIONARIA / MISTURADOR</t>
  </si>
  <si>
    <t>[46]</t>
  </si>
  <si>
    <t>CURSO DE CAPACITAÇÃO PARA OPERADOR DE PÁ CARREGADEIRA (ENCARGOS COMPLEMENTARES) - HORISTA</t>
  </si>
  <si>
    <t xml:space="preserve">OPERADOR DE PA CARREGADEIRA  </t>
  </si>
  <si>
    <t>[47]</t>
  </si>
  <si>
    <t>CURSO DE CAPACITAÇÃO PARA PEDREIRO (ENCARGOS COMPLEMENTARES) - HORISTA</t>
  </si>
  <si>
    <t xml:space="preserve">PEDREIRO  </t>
  </si>
  <si>
    <t>[48]</t>
  </si>
  <si>
    <t>CURSO DE CAPACITAÇÃO PARA PINTOR (ENCARGOS COMPLEMENTARES) - HORISTA</t>
  </si>
  <si>
    <t xml:space="preserve">PINTOR  </t>
  </si>
  <si>
    <t>[49]</t>
  </si>
  <si>
    <t>[50]</t>
  </si>
  <si>
    <t>[51]</t>
  </si>
  <si>
    <t>CURSO DE CAPACITAÇÃO PARA SOLDADOR (ENCARGOS COMPLEMENTARES) - HORISTA</t>
  </si>
  <si>
    <t xml:space="preserve">SOLDADOR  </t>
  </si>
  <si>
    <t>[52]</t>
  </si>
  <si>
    <t>[53]</t>
  </si>
  <si>
    <t>CURSO DE CAPACITAÇÃO PARA VIDRACEIRO (ENCARGOS COMPLEMENTARES) - HORISTA</t>
  </si>
  <si>
    <t xml:space="preserve">VIDRACEIRO  </t>
  </si>
  <si>
    <t>[54]</t>
  </si>
  <si>
    <t>[55]</t>
  </si>
  <si>
    <t>[56]</t>
  </si>
  <si>
    <t xml:space="preserve">ENGATE / RABICHO FLEXIVEL INOX 1/2 " X 40 CM  </t>
  </si>
  <si>
    <t>[57]</t>
  </si>
  <si>
    <t>FECHADURA ESPELHO PARA PORTA EXTERNA, EM ACO INOX (MAQUINA, TESTA E CONTRA-TESTA) E EM ZAMAC (MACANETA, LINGUETA E TRINCOS) COM ACABAMENTO CROMADO, MAQUINA DE 40 MM, INCLUINDO CHAVE TIPO CILINDRO</t>
  </si>
  <si>
    <t>CJ</t>
  </si>
  <si>
    <t>[58]</t>
  </si>
  <si>
    <t>FECHADURA ESPELHO PARA PORTA INTERNA, EM ACO INOX (MAQUINA, TESTA E CONTRA-TESTA) E EM ZAMAC (MACANETA, LINGUETA E TRINCOS) COM ACABAMENTO CROMADO, MAQUINA DE 40 MM, INCLUINDO CHAVE TIPO INTERNA</t>
  </si>
  <si>
    <t>[59]</t>
  </si>
  <si>
    <t>[60]</t>
  </si>
  <si>
    <t>[61]</t>
  </si>
  <si>
    <t>INTERRUPTOR INTERMEDIARIO 10 A, 250 V (APENAS MODULO)</t>
  </si>
  <si>
    <t>[62]</t>
  </si>
  <si>
    <t xml:space="preserve">INTERRUPTOR PARALELO 10A, 250V (APENAS MODULO) </t>
  </si>
  <si>
    <t>[63]</t>
  </si>
  <si>
    <t xml:space="preserve">INTERRUPTOR SIMPLES 10A, 250V (APENAS MODULO) </t>
  </si>
  <si>
    <t>[64]</t>
  </si>
  <si>
    <t>[65]</t>
  </si>
  <si>
    <t xml:space="preserve">LUVA SOLDAVEL COM ROSCA, PVC, 25 MM X 3/4", PARA AGUA FRIA PREDIAL  </t>
  </si>
  <si>
    <t>[66]</t>
  </si>
  <si>
    <t>[67]</t>
  </si>
  <si>
    <t>FERRAMENTAS - FAMILIA OPERADOR ESCAVADEIRA - HORISTA (ENCARGOS COMPLEMENTARES - COLETADO CAIXA)</t>
  </si>
  <si>
    <t>EPI - FAMILIA OPERADOR ESCAVADEIRA - HORISTA (ENCARGOS COMPLEMENTARES - COLETADO CAIXA)</t>
  </si>
  <si>
    <t>[68]</t>
  </si>
  <si>
    <t>[69]</t>
  </si>
  <si>
    <t>[70]</t>
  </si>
  <si>
    <t>OPERADOR DE PÁ CARREGADEIRA COM ENCARGOS COMPLEMENTARES</t>
  </si>
  <si>
    <t>[71]</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</si>
  <si>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</si>
  <si>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</si>
  <si>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[72]</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</si>
  <si>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</si>
  <si>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</si>
  <si>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[73]</t>
  </si>
  <si>
    <t>PA CARREGADEIRA SOBRE RODAS, POTENCIA LIQUIDA 128 HP, CAPACIDADE DA CACAMBA DE 1,7 A 2,8 M3, PESO OPERACIONAL MAXIMO DE 11632 KG</t>
  </si>
  <si>
    <t>[74]</t>
  </si>
  <si>
    <t>[75]</t>
  </si>
  <si>
    <t>[76]</t>
  </si>
  <si>
    <t>[77]</t>
  </si>
  <si>
    <t>[78]</t>
  </si>
  <si>
    <t>FERRAMENTAS - FAMILIA PINTOR - HORISTA (ENCARGOS COMPLEMENTARES - COLETADO CAIXA)</t>
  </si>
  <si>
    <t xml:space="preserve">EPI - FAMILIA PINTOR - HORISTA (ENCARGOS COMPLEMENTARES - COLETADO CAIXA) </t>
  </si>
  <si>
    <t>[79]</t>
  </si>
  <si>
    <t>DOBRADICA EM ACO/FERRO, 3 1/2" X  3", E= 1,9  A 2 MM, COM ANEL,  CROMADO OU ZINCADO, TAMPA BOLA, COM PARAFUSOS</t>
  </si>
  <si>
    <t>PORTA DE MADEIRA, FOLHA MEDIA (NBR 15930) DE 700 X 2100 MM, DE 35 MM A 40 MM DE ESPESSURA, NUCLEO SEMI-SOLIDO (SARRAFEADO), CAPA LISA EM HDF, ACABAMENTO EM PRIMER PARA PINTURA</t>
  </si>
  <si>
    <t xml:space="preserve">PARAFUSO ROSCA SOBERBA ZINCADO CABECA CHATA FENDA SIMPLES 3,5 X 25 MM (1 ")  </t>
  </si>
  <si>
    <t>[80]</t>
  </si>
  <si>
    <t>PORTA DE MADEIRA, FOLHA MEDIA (NBR 15930) DE 800 X 2100 MM, DE 35 MM A 40 MM DE ESPESSURA, NUCLEO SEMI-SOLIDO (SARRAFEADO), CAPA LISA EM HDF, ACABAMENTO EM PRIMER PARA PINTURA</t>
  </si>
  <si>
    <t>[81]</t>
  </si>
  <si>
    <t>PORTA DE MADEIRA, FOLHA MEDIA (NBR 15930) DE 900 X 2100 MM, DE 35 MM A 40 MM DE ESPESSURA, NUCLEO SEMI-SOLIDO (SARRAFEADO), CAPA LISA EM HDF, ACABAMENTO EM PRIMER PARA PINTURA</t>
  </si>
  <si>
    <t>[82]</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</si>
  <si>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</si>
  <si>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</si>
  <si>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[83]</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</si>
  <si>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</si>
  <si>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</si>
  <si>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[84]</t>
  </si>
  <si>
    <t>PROJETOR DE ARGAMASSA, CAPACIDADE DE PROJECAO 1,5 M3/H, ALCANCE DA PROJECAO 30 ATE 60 M, MOTOR ELETRICO TRIFASICO</t>
  </si>
  <si>
    <t>[85]</t>
  </si>
  <si>
    <t>[86]</t>
  </si>
  <si>
    <t>[87]</t>
  </si>
  <si>
    <t>[88]</t>
  </si>
  <si>
    <t xml:space="preserve">REGISTRO PRESSAO BRUTO EM LATAO FORJADO, BITOLA 3/4 " (REF 1400)  </t>
  </si>
  <si>
    <t>[89]</t>
  </si>
  <si>
    <t>[90]</t>
  </si>
  <si>
    <t>FERRAMENTAS - FAMILIA SOLDADOR - HORISTA (ENCARGOS COMPLEMENTARES - COLETADO CAIXA)</t>
  </si>
  <si>
    <t xml:space="preserve">EPI - FAMILIA SOLDADOR - HORISTA (ENCARGOS COMPLEMENTARES - COLETADO CAIXA) </t>
  </si>
  <si>
    <t>[91]</t>
  </si>
  <si>
    <t>PARAFUSO DE ACO ZINCADO COM ROSCA SOBERBA, CABECA CHATA E FENDA SIMPLES, DIAMETRO 4,8 MM, COMPRIMENTO 45 MM</t>
  </si>
  <si>
    <t>SUPORTE ISOLADOR REFORCADO DIAMETRO NOMINAL 5/16", COM ROSCA SOBERBA E BUCHA</t>
  </si>
  <si>
    <t>[92]</t>
  </si>
  <si>
    <t xml:space="preserve">ESPELHO / PLACA DE 3 POSTOS 4" X 2", PARA INSTALACAO DE TOMADAS E INTERRUPTORES </t>
  </si>
  <si>
    <t>SUPORTE DE FIXACAO PARA ESPELHO / PLACA 4" X 2", PARA 3 MODULOS, PARA INSTALACAO DE TOMADAS E INTERRUPTORES (SOMENTE SUPORTE)</t>
  </si>
  <si>
    <t>[93]</t>
  </si>
  <si>
    <t xml:space="preserve">TOMADA 2P+T 10A, 250V  (APENAS MODULO) </t>
  </si>
  <si>
    <t>[94]</t>
  </si>
  <si>
    <t xml:space="preserve">TOMADA 2P+T 20A, 250V  (APENAS MODULO) </t>
  </si>
  <si>
    <t>[95]</t>
  </si>
  <si>
    <t>[96]</t>
  </si>
  <si>
    <t>PARAFUSO NIQUELADO COM ACABAMENTO CROMADO PARA FIXAR PECA SANITARIA, INCLUI PORCA CEGA, ARRUELA E BUCHA DE NYLON TAMANHO S-10</t>
  </si>
  <si>
    <t xml:space="preserve">VEDACAO PVC, 100 MM, PARA SAIDA VASO SANITARIO  </t>
  </si>
  <si>
    <t xml:space="preserve">BACIA SANITARIA (VASO) COM CAIXA ACOPLADA, DE LOUCA BRANCA  </t>
  </si>
  <si>
    <t>[97]</t>
  </si>
  <si>
    <t>BACIA SANITARIA (VASO) CONVENCIONAL PARA PCD SEM FURO FRONTAL, DE LOUCA BRANCA, SEM ASSENTO</t>
  </si>
  <si>
    <t>[98]</t>
  </si>
  <si>
    <t>TOTAL DO SERVIÇO - R$</t>
  </si>
  <si>
    <t>Limpeza final</t>
  </si>
  <si>
    <t>.</t>
  </si>
  <si>
    <t>SINAPE</t>
  </si>
  <si>
    <r>
      <t>m</t>
    </r>
    <r>
      <rPr>
        <i/>
        <sz val="16"/>
        <rFont val="Calibri"/>
        <family val="2"/>
        <scheme val="minor"/>
      </rPr>
      <t>3</t>
    </r>
  </si>
  <si>
    <t>SINAPI 101404</t>
  </si>
  <si>
    <t>CPUE 156</t>
  </si>
  <si>
    <t>DUCHA HIGIENICA ACQUA JET 2195 AQUARIUS FABRIMAR CR</t>
  </si>
  <si>
    <t>PINTURA TINTA DE ACABAMENTO (PIGMENTADA) ESMALTE SINTÉTICO ACETINADO EM MADEIRA, 3 DEMÃOS. AF_01/2021</t>
  </si>
  <si>
    <t xml:space="preserve"> 88310 </t>
  </si>
  <si>
    <t>SEDI - SERVIÇOS DIVERSOS</t>
  </si>
  <si>
    <t xml:space="preserve"> 00005318 </t>
  </si>
  <si>
    <t>DILUENTE AGUARRAS</t>
  </si>
  <si>
    <t xml:space="preserve"> 00007311 </t>
  </si>
  <si>
    <t>TINTA ESMALTE SINTETICO PREMIUM ACETINADO</t>
  </si>
  <si>
    <t>SINAPI 86878</t>
  </si>
  <si>
    <t>ENCARGOS SOCIAIS SOBRE PREÇOS DA MÃO-DE-OBRA: 113,60%(HORA)   70,53%(MÊS)</t>
  </si>
  <si>
    <t>SINAPI 101727</t>
  </si>
  <si>
    <t>PISO VINÍLICO SEMI-FLEXÍVEL EM PLACAS, PADRÃO LISO, ESPESSURA 3,2 MM, FIXADO COM COLA.</t>
  </si>
  <si>
    <t xml:space="preserve">PEDREIRO COM ENCARGOS COMPLEMENTARES </t>
  </si>
  <si>
    <t xml:space="preserve">ADESIVO ACRILICO DE BASE AQUOSA / COLA DE CONTATO </t>
  </si>
  <si>
    <t xml:space="preserve">PLACA VINILICA SEMIFLEXIVEL PARA PISOS, E = 3,2 MM, 30 X 30 CM (SEM COLOCACAO) </t>
  </si>
  <si>
    <t>ADICIONAL NOTURNO</t>
  </si>
  <si>
    <t>BDI REDUZIDO</t>
  </si>
  <si>
    <t>7.9.8</t>
  </si>
  <si>
    <t>Piso porcelanato retificado 60x60cm, modelo Materia Gesso NA (áreas molhadas)</t>
  </si>
  <si>
    <t>Revestimento cerâmico retificado 60x30cm qualidade tipo A cor branco</t>
  </si>
  <si>
    <t>Assento para bacia, conforme memorial</t>
  </si>
  <si>
    <t>Bacia c/caixa acoplada, conforme memorial</t>
  </si>
  <si>
    <t>Bacia sanitária acessível, conforme memorial</t>
  </si>
  <si>
    <t>Assento para bacia PNE, conforme memorial</t>
  </si>
  <si>
    <t>Chuveiro elétrico, conforme memorial</t>
  </si>
  <si>
    <t>Registro de chuveiro, conforme memorial</t>
  </si>
  <si>
    <t>Manopla p/resgistro de chuveiro, conforme memorial</t>
  </si>
  <si>
    <t>Cuba de louça embutir oval, conforme memorial</t>
  </si>
  <si>
    <t>Cuba dupla 890x390mm  em aço inox, conforme memorial</t>
  </si>
  <si>
    <t>Tanque de louça médio 40 litros, conforme memorial</t>
  </si>
  <si>
    <t>Torneira automática lavatório PNE, conforme memorial</t>
  </si>
  <si>
    <t>Torneira automática lavatório, conforme memorial</t>
  </si>
  <si>
    <t>Torneira de parede, conforme memorial</t>
  </si>
  <si>
    <t>Torneira de serviço, conforme memorial</t>
  </si>
  <si>
    <t>Ducha higiênica, conforme memorial</t>
  </si>
  <si>
    <t>Sifão metálico cromado, conforme memorial</t>
  </si>
  <si>
    <t>Válvula para lavatório/tanque, conforme memorial</t>
  </si>
  <si>
    <t>Válvula para pia, conforme memorial</t>
  </si>
  <si>
    <t>Ligação flexível cromada, conforme memorial</t>
  </si>
  <si>
    <t>Saboneteira p/sabão líquido, ref. kimberly-clark ou sim. em plastico abs, conforme memorial</t>
  </si>
  <si>
    <t>Barra de apoio reta 80cm, conforme memorial</t>
  </si>
  <si>
    <t>Barra de apoio reta 70cm, conforme memorial</t>
  </si>
  <si>
    <t>Barra de apoio reta 40cm, conforme memorial</t>
  </si>
  <si>
    <t>Talheiro/porta toalha de papel interfolheado - plástico ABS, conforme memorial</t>
  </si>
  <si>
    <t>Espelho de cristal, esp. 4mm com moldura de alumínio, conforme memorial</t>
  </si>
  <si>
    <t>Placa controladora para gerenciamento de 1 porta com alimentação PoE (Power Over Ethernet), marca/modelo referência: Genetec Synergis.</t>
  </si>
  <si>
    <t>Eletroimã micro de montagem superior, 300 lbs, 12/24V selec,
300ma@12vcc, monit. status, alumínio anodizado,  marca/modelo referência: Genetec Synergis.</t>
  </si>
  <si>
    <t>Suporte LZ em alumínio anodizado, para eletroímãs 300M, com
regulagem,  marca/modelo referência: Genetec Synergis.</t>
  </si>
  <si>
    <t>Suporte U em alumínio anodizado, para eletroímas 300M, para porta de vidro até 10mm,  marca/modelo referência: Genetec Synergis.</t>
  </si>
  <si>
    <t>Acionador de emergência rearmável, NA/NF, c/ capa proteção e chave reset, verde,  marca/modelo referência: Genetec Synergis.</t>
  </si>
  <si>
    <t>Software base da versão PROFESSIONAL, marca/modelo referência: Genetec Synergis.</t>
  </si>
  <si>
    <t>Licença adicional de Leitor para controle de acesso, marca/modelo referência: Genetec Synergis.</t>
  </si>
  <si>
    <t>Licença base que permite inclusão de estações de cadastramento de
visitantes (1 licença de estação inclusa),  marca/modelo referência: Genetec Synergis.</t>
  </si>
  <si>
    <t>Genetec Security Center Universe Camera License, marca/modelo referência: Genetec Security Center</t>
  </si>
  <si>
    <t>Genetec Security Center, Face Recognition Camera License, 1 video channel, marca/modelo referência: Genetec Security Center</t>
  </si>
  <si>
    <t xml:space="preserve"> 88247 </t>
  </si>
  <si>
    <t xml:space="preserve"> 88264 </t>
  </si>
  <si>
    <t>2,0</t>
  </si>
  <si>
    <t xml:space="preserve"> 95758 </t>
  </si>
  <si>
    <t>LUVA DE EMENDA PARA ELETRODUTO, AÇO GALVANIZADO, DN 25 MM (1''), APARENTE, INSTALADA EM PAREDE - FORNECIMENTO E INSTALAÇÃO. AF_11/2016_P</t>
  </si>
  <si>
    <t>INEL - INSTALAÇÃO ELÉTRICA/ELETRIFICAÇÃO E ILUMINAÇÃO EXTERNA</t>
  </si>
  <si>
    <t>14,71</t>
  </si>
  <si>
    <t>0,3333</t>
  </si>
  <si>
    <t xml:space="preserve"> 00021136 </t>
  </si>
  <si>
    <t>1,05</t>
  </si>
  <si>
    <t>ELETRODUTO DE AÇO GALVANIZADO, CLASSE, DN 25 MM (1), APARENTE, INSTALADO EM TETO - FORNECIMENTO E INSTALAÇÃO</t>
  </si>
  <si>
    <t>!EM PROCESSO DESATIVACAO! ELETRODUTO EM ACO GALVANIZADO ELETROLITICO, DIAMETRO 1", PAREDE DE 0,90 MM</t>
  </si>
  <si>
    <t>SINAPI 95746</t>
  </si>
  <si>
    <t>-</t>
  </si>
  <si>
    <t>Serviços Finais</t>
  </si>
  <si>
    <t xml:space="preserve"> 00002581 </t>
  </si>
  <si>
    <t>CONDULETE DE ALUMINIO TIPO X, PARA ELETRODUTO ROSCAVEL DE 1", COM TAMPA CEGA</t>
  </si>
  <si>
    <t>1,0</t>
  </si>
  <si>
    <t xml:space="preserve"> 00011950 </t>
  </si>
  <si>
    <t>0,20</t>
  </si>
  <si>
    <t xml:space="preserve">CONDULETE DE ALUMÍNIO, TIPO X, PARA ELETRODUTO DE AÇO GALVANIZADO DN 25 MM (1''), APARENTE - FORNECIMENTO E INSTALAÇÃO. AF_11/2016_P
</t>
  </si>
  <si>
    <t xml:space="preserve">INEL - INSTALAÇÃO ELÉTRICA/ELETRIFICAÇÃO E ILUMINAÇÃO EXTERNA
</t>
  </si>
  <si>
    <t>UND</t>
  </si>
  <si>
    <t>1)</t>
  </si>
  <si>
    <t>O Orçamento apresentado deverá prever Empreitada Global, incluíndo todos os serviços e suas respectivas mão de obra e materiais necessários.</t>
  </si>
  <si>
    <t>2)</t>
  </si>
  <si>
    <t>A proponente deverá proceder minucioso exame local e dos projetos fornecidos, a fim de verificar as condições, medidas, quantidades e técnicas necessárias à perfeita execução dos serviços.</t>
  </si>
  <si>
    <t>3)</t>
  </si>
  <si>
    <t>4)</t>
  </si>
  <si>
    <t>5)</t>
  </si>
  <si>
    <t>6)</t>
  </si>
  <si>
    <t>Todos os materiais utilizados deverão observar às prescrições dos seus respectivos fabricantes.</t>
  </si>
  <si>
    <t>7)</t>
  </si>
  <si>
    <t>ÁREA: 961,80 m2</t>
  </si>
  <si>
    <t>Composição dos Encargos Sociais</t>
  </si>
  <si>
    <t>Outubro/2021</t>
  </si>
  <si>
    <t>Cód.</t>
  </si>
  <si>
    <t>Sem Desoneração</t>
  </si>
  <si>
    <t>Horista (%)</t>
  </si>
  <si>
    <t>Mensalista (%)</t>
  </si>
  <si>
    <t>A1</t>
  </si>
  <si>
    <t>INSS</t>
  </si>
  <si>
    <t>A2</t>
  </si>
  <si>
    <t>SESI</t>
  </si>
  <si>
    <t>A3</t>
  </si>
  <si>
    <t>SENAI</t>
  </si>
  <si>
    <t>A4</t>
  </si>
  <si>
    <t>INCRA</t>
  </si>
  <si>
    <t>A5</t>
  </si>
  <si>
    <t>SEBRAE</t>
  </si>
  <si>
    <t>A6</t>
  </si>
  <si>
    <t>Salário Educação</t>
  </si>
  <si>
    <t>A7</t>
  </si>
  <si>
    <t>Seguro Contra Acidentes de Trabalho</t>
  </si>
  <si>
    <t>A8</t>
  </si>
  <si>
    <t>FGTS</t>
  </si>
  <si>
    <t>A9</t>
  </si>
  <si>
    <t>SECONCI</t>
  </si>
  <si>
    <t>A</t>
  </si>
  <si>
    <t>Total (%)</t>
  </si>
  <si>
    <t>B1</t>
  </si>
  <si>
    <t>Repouso semanal remunerado</t>
  </si>
  <si>
    <t>B2</t>
  </si>
  <si>
    <t>Feriados</t>
  </si>
  <si>
    <t>B3</t>
  </si>
  <si>
    <t>Auxílio - Enfermidade</t>
  </si>
  <si>
    <t>B4</t>
  </si>
  <si>
    <r>
      <t>13</t>
    </r>
    <r>
      <rPr>
        <vertAlign val="superscript"/>
        <sz val="12"/>
        <rFont val="Arial"/>
        <family val="2"/>
      </rPr>
      <t xml:space="preserve">o </t>
    </r>
    <r>
      <rPr>
        <sz val="12"/>
        <rFont val="Arial"/>
        <family val="2"/>
      </rPr>
      <t>salário</t>
    </r>
  </si>
  <si>
    <t>B5</t>
  </si>
  <si>
    <t>Licença paternidade</t>
  </si>
  <si>
    <t>B6</t>
  </si>
  <si>
    <t>Faltas justificadas</t>
  </si>
  <si>
    <t>B7</t>
  </si>
  <si>
    <t>Dias de chuva</t>
  </si>
  <si>
    <t>B8</t>
  </si>
  <si>
    <t>Auxílio - Acedente de trabalho</t>
  </si>
  <si>
    <t>B9</t>
  </si>
  <si>
    <t>Férias gozadas</t>
  </si>
  <si>
    <t>B10</t>
  </si>
  <si>
    <t>Salário Maternidade</t>
  </si>
  <si>
    <t>B</t>
  </si>
  <si>
    <t>C1</t>
  </si>
  <si>
    <t>Aviso prévio indenizado</t>
  </si>
  <si>
    <t>C2</t>
  </si>
  <si>
    <t>Aviso prévio trabalhado</t>
  </si>
  <si>
    <t>C3</t>
  </si>
  <si>
    <t>Férias indenizadas</t>
  </si>
  <si>
    <t>C5</t>
  </si>
  <si>
    <t>Depósito rescisão sem justa causa</t>
  </si>
  <si>
    <t>Indenização adicional</t>
  </si>
  <si>
    <t>C</t>
  </si>
  <si>
    <t>D1</t>
  </si>
  <si>
    <t>Reincidência do Grupo A sobre o Grupo B</t>
  </si>
  <si>
    <t>D2</t>
  </si>
  <si>
    <t>Reubcudência do Grupo A sobre Aviso Prévio Trabalhado e Reincidência do FGTS sobre Aviso Prévio Indenizado</t>
  </si>
  <si>
    <t>D</t>
  </si>
  <si>
    <t>Total (A+B+C+D) (%)</t>
  </si>
  <si>
    <t>MODERNIZAÇÃO DA SUPERINTENDÊNCIA RIO DE JANEIRO - SERJ/ABIN</t>
  </si>
  <si>
    <t>Serviços iniciais e administração local</t>
  </si>
  <si>
    <t>QUANTIDADE</t>
  </si>
  <si>
    <t>ITEM</t>
  </si>
  <si>
    <t>UNIDADE</t>
  </si>
  <si>
    <t>PESO RELATIVO</t>
  </si>
  <si>
    <t>PESO ACUMULADO</t>
  </si>
  <si>
    <t>RAMO</t>
  </si>
  <si>
    <t>5.3.6</t>
  </si>
  <si>
    <t>Caixa de volume de ar variável completa com atuador proporcional</t>
  </si>
  <si>
    <t>5.7.13</t>
  </si>
  <si>
    <t>Controlador programável para VAV com protoloco BACnet e Modbus 24V, marca/modelo referência: Mercato/MVAV-PRO-24</t>
  </si>
  <si>
    <t>Suporte horizontal  em aço galvanizado para eletrocalha 75mmx50mm</t>
  </si>
  <si>
    <t>5.7.17</t>
  </si>
  <si>
    <t>Sensor de CO2 (0-5/10V) e VOC (0-5/10V) de duto com haste de 7" e proteção NEMA, 4X (IP65), marca/modelo referência: Belimo/22DCV-51</t>
  </si>
  <si>
    <t>SINAPI 88650</t>
  </si>
  <si>
    <t>2.4.5</t>
  </si>
  <si>
    <t>0,085</t>
  </si>
  <si>
    <t xml:space="preserve"> 88316 </t>
  </si>
  <si>
    <t>0,031</t>
  </si>
  <si>
    <t xml:space="preserve"> 00001292 </t>
  </si>
  <si>
    <t>PISO EM CERAMICA ESMALTADA EXTRA, PEI MAIOR OU IGUAL A 4, FORMATO MAIOR QUE 2025 CM2</t>
  </si>
  <si>
    <t>0,188</t>
  </si>
  <si>
    <t xml:space="preserve"> 00001381 </t>
  </si>
  <si>
    <t>ARGAMASSA COLANTE AC I PARA CERAMICAS</t>
  </si>
  <si>
    <t>0,603</t>
  </si>
  <si>
    <t xml:space="preserve"> 00034357 </t>
  </si>
  <si>
    <t>0,084</t>
  </si>
  <si>
    <t>RODAPÉ CERÂMICO DE 7CM DE ALTURA COM PLACAS TIPO ESMALTADA EXTRA DE DIMENSÕES 60X60CM. AF_06/2014</t>
  </si>
  <si>
    <t>PISO - PISOS</t>
  </si>
  <si>
    <t>SINAPI 98688</t>
  </si>
  <si>
    <t>2.4.6</t>
  </si>
  <si>
    <t>RODAPÉ EM POLIESTIRENO, ALTURA 5 CM. AF_09/2020</t>
  </si>
  <si>
    <t xml:space="preserve"> 88309 </t>
  </si>
  <si>
    <t xml:space="preserve"> 00004791 </t>
  </si>
  <si>
    <t>ADESIVO ACRILICO DE BASE AQUOSA / COLA DE CONTATO</t>
  </si>
  <si>
    <t xml:space="preserve"> 00039829 </t>
  </si>
  <si>
    <t>RODAPE EM POLIESTIRENO, BRANCO, H = *5* CM, E = *1,5* CM</t>
  </si>
  <si>
    <t>0,103</t>
  </si>
  <si>
    <t>0,052</t>
  </si>
  <si>
    <t>0,33</t>
  </si>
  <si>
    <t>1,34</t>
  </si>
  <si>
    <t>Rodapé cerâmico de 7 cm de altura com placas de porcelanato no padrão a ser instalado nos ambientes com porcelanato no piso</t>
  </si>
  <si>
    <t>Rodapé poliestireno preto altura de  5 cm, espessura 1,5 cm cm para ambientes com piso vinílico</t>
  </si>
  <si>
    <t>Tomada simples 2P+T (NBR 14136) 10A (preta) em caixa de alumínio conforme projeto 4x2"</t>
  </si>
  <si>
    <t>Tomada simples 2P+T (NBR 14136) 20A (preta) em caixa de alumínio conforme projeto 4x2"</t>
  </si>
  <si>
    <t>Interruptor intermediário em caixa de alumínio conforme projeto 4'x2'. Ref. Iriel, Tramontina ou equivalente</t>
  </si>
  <si>
    <t>Interruptor paralelo em caixa de alumínio conforme projeto 4'x2'. Ref. Iriel, Tramontina ou equivalente</t>
  </si>
  <si>
    <t>Suporte horizontal  em aço galvanizado para eletrocalha 300mmx100mm</t>
  </si>
  <si>
    <t>Suporte horizontal  em aço galvanizado para eletrocalha 150mmx75mm</t>
  </si>
  <si>
    <t>Interruptor simples em caixa de alumínio conforme projeto 4'x2'. Ref. Iriel, Tramontina ou equivalente</t>
  </si>
  <si>
    <t>Interruptor duplo em caixa de alumínio  conforme projeto 4'x2'. Ref. Iriel, Tramontina ou equivalente</t>
  </si>
  <si>
    <t>Fornecimento e instalação de unidade climatizadora do tipo cassete hidrônico, 4 vias, com painel frontal, termostato com fio e placa de comunicação em rede, capacidade 1,67 TR, com controle remoto sem fio</t>
  </si>
  <si>
    <t>Fornecimento e instalação de unidade climatizadora do tipo Hi Wall hidrônico, termostato com fio e placa de comunicação em rede, capacidade 1 TR, com controle remoto sem fio</t>
  </si>
  <si>
    <t>Fornecimento e instalação de unidade de climatização do tipo expansão direta, inverter, bisplit, Hi wall, 2x12.000 BTU/h, com controles remotos sem fio</t>
  </si>
  <si>
    <t>CPUE 157</t>
  </si>
  <si>
    <t>Unidade climatizadora do tipo cassete hidrônico, 4 vias, com painel frontal, termostato com fio e placa de comunicação em rede, capacidade 1,67 TR, com controle remoto sem fio</t>
  </si>
  <si>
    <t>COT</t>
  </si>
  <si>
    <t>CPUE 158</t>
  </si>
  <si>
    <t>Fornecimento e instalação de unidade climatizadora do tipo cassete hidrônico, 4 vias, com painel frontal, termostato com fio e placa de comunicação em rede, capacidade 2,50 TR, com controle remoto sem fio</t>
  </si>
  <si>
    <t>Unidade climatizadora do tipo cassete hidrônico, 4 vias, com painel frontal, termostato com fio e placa de comunicação em rede, capacidade 2,50 TR, com controle remoto sem fio</t>
  </si>
  <si>
    <t>CPUE 159</t>
  </si>
  <si>
    <t>CPUE 160</t>
  </si>
  <si>
    <t>CPUE 161</t>
  </si>
  <si>
    <t>CPUE 162</t>
  </si>
  <si>
    <t>CPUE 163</t>
  </si>
  <si>
    <t>CPUE 164</t>
  </si>
  <si>
    <t>CPUE 165</t>
  </si>
  <si>
    <t>CPUE 166</t>
  </si>
  <si>
    <t>Unidade climatizadora do tipo Hi Wall hidrônico, termostato com fio e placa de comunicação em rede, capacidade 1 TR, com controle remoto sem fio</t>
  </si>
  <si>
    <t>Unidade climatizadora do tipo fan coil para dutos, capacidade 6 TR, vazão de insuflamento 5.735 m³/h, perda de carga disponível 18 mmca,  filtro G4 + M5 plano.</t>
  </si>
  <si>
    <t>Unidade climatizadora do tipo DOAS - Dedicated Outdoor Ais System, capacidade 12 TR, vazão de insuflamento 3.888 m³/h, perda de carga disponível 18 mmca, filtro G4 + M5 plissado.</t>
  </si>
  <si>
    <t>Unidade de climatização do tipo expansão direta, inverter, bisplit, Hi wall, 2x12.000 BTU/h, com controles remotos sem fio</t>
  </si>
  <si>
    <t>Fornecimento e instalação de unidade climatizadora do tipo cassete hidrônico, 4 vias, indicação de temperatura na unidade, com painel frontal, termostato com fio e placa de comunicação em rede, capacidade 1,67 TR, com controle remoto sem fio</t>
  </si>
  <si>
    <t>Fornecimento e instalação de unidade climatizadora do tipo cassete hidrônico, 4 vias, indicação de temperatura na unidade, com painel frontal, termostato com fio e placa de comunicação em rede, capacidade 2,5 TR, com controle remoto sem fio</t>
  </si>
  <si>
    <t>Fornecimento e instalação de unidade climatizadora do tipo Hi Wall hidrônico,  indicação de temperatura na unidade, termostato com fio e placa de comunicação em rede, capacidade 1 TR, com controle remoto sem fio</t>
  </si>
  <si>
    <t>Fornecimento e instalação de unidade de climatização do tipo expansão direta, inverter, bisplit, Hi wall, 2x12.000 BTU/h, com controles remotos sem fio,  indicação de temperatura na unidade evaporadora</t>
  </si>
  <si>
    <t>CPUE 167</t>
  </si>
  <si>
    <t>Téc refrigeração c/encargos complementares</t>
  </si>
  <si>
    <t>Auxiliar de téc em refrigeração c/encargos complementares</t>
  </si>
  <si>
    <t>Baseado nos coeficientes  da CPU SINAPI 95802</t>
  </si>
  <si>
    <t>CPUE 168</t>
  </si>
  <si>
    <t>CPUE 169</t>
  </si>
  <si>
    <t>CPUE 170</t>
  </si>
  <si>
    <t>CPUE 171</t>
  </si>
  <si>
    <t>CPUE 172</t>
  </si>
  <si>
    <t>CPUE 173</t>
  </si>
  <si>
    <t>CPUE 174</t>
  </si>
  <si>
    <t>CPUE 175</t>
  </si>
  <si>
    <t>CPUE 176</t>
  </si>
  <si>
    <t>CPUE 177</t>
  </si>
  <si>
    <t>CPUE 178</t>
  </si>
  <si>
    <t>CPUE 179</t>
  </si>
  <si>
    <t>CPUE 180</t>
  </si>
  <si>
    <t>CPUE 181</t>
  </si>
  <si>
    <t>CPUE 182</t>
  </si>
  <si>
    <t>CPUE 183</t>
  </si>
  <si>
    <t>CPUE 184</t>
  </si>
  <si>
    <t>CPUE 185</t>
  </si>
  <si>
    <t>CPUE 186</t>
  </si>
  <si>
    <t>CPUE 187</t>
  </si>
  <si>
    <t>CPUE 188</t>
  </si>
  <si>
    <t>CPUE 189</t>
  </si>
  <si>
    <t>CPUE 190</t>
  </si>
  <si>
    <t>CPUE 191</t>
  </si>
  <si>
    <t>CPUE 192</t>
  </si>
  <si>
    <t>CPUE 193</t>
  </si>
  <si>
    <t>CPUE 194</t>
  </si>
  <si>
    <t>CPUE 195</t>
  </si>
  <si>
    <t>CPUE 196</t>
  </si>
  <si>
    <t>CPUE 197</t>
  </si>
  <si>
    <t>CPUE 198</t>
  </si>
  <si>
    <t>CPUE 199</t>
  </si>
  <si>
    <t>CPUE 200</t>
  </si>
  <si>
    <t>CPUE 201</t>
  </si>
  <si>
    <t>CPUE 202</t>
  </si>
  <si>
    <t>CPUE 203</t>
  </si>
  <si>
    <t>CPUE 204</t>
  </si>
  <si>
    <t>CPUE 205</t>
  </si>
  <si>
    <t>CPUE 206</t>
  </si>
  <si>
    <t>CPUE 207</t>
  </si>
  <si>
    <t>CPUE 208</t>
  </si>
  <si>
    <t>CPUE 209</t>
  </si>
  <si>
    <t>CPUE 210</t>
  </si>
  <si>
    <t>CPUE 211</t>
  </si>
  <si>
    <t>CPUE 212</t>
  </si>
  <si>
    <t>CPUE 213</t>
  </si>
  <si>
    <t>CPUE 214</t>
  </si>
  <si>
    <t>CPUE 215</t>
  </si>
  <si>
    <t>CPUE 216</t>
  </si>
  <si>
    <t>CPUE 217</t>
  </si>
  <si>
    <t>CPUE 218</t>
  </si>
  <si>
    <t>CPUE 219</t>
  </si>
  <si>
    <t>CPUE 220</t>
  </si>
  <si>
    <t>CPUE 221</t>
  </si>
  <si>
    <t>CPUE 222</t>
  </si>
  <si>
    <t>CPUE 223</t>
  </si>
  <si>
    <t>CPUE 224</t>
  </si>
  <si>
    <t>CPUE 225</t>
  </si>
  <si>
    <t>CPUE 226</t>
  </si>
  <si>
    <t>CPUE 227</t>
  </si>
  <si>
    <t>CPUE 228</t>
  </si>
  <si>
    <t>CPUE 229</t>
  </si>
  <si>
    <t>CPUE 230</t>
  </si>
  <si>
    <t>CPUE 231</t>
  </si>
  <si>
    <t>CPUE 232</t>
  </si>
  <si>
    <t>CPUE 233</t>
  </si>
  <si>
    <t>CPUE 234</t>
  </si>
  <si>
    <t>CPUE 235</t>
  </si>
  <si>
    <t>CPUE 236</t>
  </si>
  <si>
    <t>CPUE 237</t>
  </si>
  <si>
    <t>CPUE 238</t>
  </si>
  <si>
    <t>CPUE 239</t>
  </si>
  <si>
    <t>CPUE 240</t>
  </si>
  <si>
    <t>CPUE 241</t>
  </si>
  <si>
    <t>CPUE 242</t>
  </si>
  <si>
    <t>COT.001</t>
  </si>
  <si>
    <t>CPUE 243</t>
  </si>
  <si>
    <t>CPUE 244</t>
  </si>
  <si>
    <t>CPUE 245</t>
  </si>
  <si>
    <t>CPUE 246</t>
  </si>
  <si>
    <t>CPUE 247</t>
  </si>
  <si>
    <t>CPUE 248</t>
  </si>
  <si>
    <t>CPUE 249</t>
  </si>
  <si>
    <t>CPUE 250</t>
  </si>
  <si>
    <t>CPUE 251</t>
  </si>
  <si>
    <t>CPUE 252</t>
  </si>
  <si>
    <t>CPUE 253</t>
  </si>
  <si>
    <t>CPUE 254</t>
  </si>
  <si>
    <t>CPUE 255</t>
  </si>
  <si>
    <t>CPUE 256</t>
  </si>
  <si>
    <t>CPUE 257</t>
  </si>
  <si>
    <t>CPUE 258</t>
  </si>
  <si>
    <t>CPUE 259</t>
  </si>
  <si>
    <t>CPUE 260</t>
  </si>
  <si>
    <t>VALOR TOTAL DO ITEM</t>
  </si>
  <si>
    <t>Elaboração e entrega eletrônica e impressa do Projeto Executivo, AS BUILT e do DATABOOK contendo todos os manuais e especificações dos equipamentos e softwares instalados.</t>
  </si>
  <si>
    <t>Conjunto 2 tomadas de embutir 10A 250V Monobloco, Ref Ilumi 80120</t>
  </si>
  <si>
    <t>Conjunto 2 tomadas de embutir 20A 250V Monobloco, Ref Ilumi 80120</t>
  </si>
  <si>
    <t>Interruptor simples, conjunto montado para embutir</t>
  </si>
  <si>
    <t>Interruptor paralelo, conjunto montado para embutir</t>
  </si>
  <si>
    <t>7.5.10</t>
  </si>
  <si>
    <t>Conector RJ45 Fêmea padrão IEEE 802.3, categoria 5e. Ref. Furukawa ou equivalente, conjunto montado para embutir</t>
  </si>
  <si>
    <t>Difusor de insuflamento em alumínio anodizado, com registro - 3 vias, tamanho: 371x208mm com caixa plenum</t>
  </si>
  <si>
    <t>Difusor de insuflamento em alumínio anodizado, com registro - 4 vias, tamanho 3 - 249x249 mm com caixa plenum</t>
  </si>
  <si>
    <t>Difusor de insuflamento em alumínio anodizado, com registro - 4 vias, tamanho 4, 305x305 mm com caixa plenum</t>
  </si>
  <si>
    <t>56H SEMANAIS</t>
  </si>
  <si>
    <t>No dia</t>
  </si>
  <si>
    <t>Na semana</t>
  </si>
  <si>
    <t>K</t>
  </si>
  <si>
    <t>h (normais)</t>
  </si>
  <si>
    <t>$UNIT. s/ DES./h</t>
  </si>
  <si>
    <t>JORNADA NORMAL</t>
  </si>
  <si>
    <t>TOTAL NORMAL</t>
  </si>
  <si>
    <t>$UNIT. s/ DES./h (NOTURNO)</t>
  </si>
  <si>
    <t>JORNADA HIBRIDA - NORMAL</t>
  </si>
  <si>
    <t>JORNADA HIBRIDA - NOTURNO</t>
  </si>
  <si>
    <t>TOTAL HIBRIDA</t>
  </si>
  <si>
    <t>VAR.</t>
  </si>
  <si>
    <t>CORR.</t>
  </si>
  <si>
    <t>Normal</t>
  </si>
  <si>
    <t>PEDREIRO/ELET/AZULEJ./BOMB.</t>
  </si>
  <si>
    <t>Noturna</t>
  </si>
  <si>
    <t>AJUDANTE</t>
  </si>
  <si>
    <t>$h, NOT.</t>
  </si>
  <si>
    <t>CONSIDERANDO 50% PARA MATERIAIS E 50% PARA MÃO DE OBRA</t>
  </si>
  <si>
    <t>Fornecimento e instalação de unidade climatizadora do tipo fan coil para dutos, capacidade 4 a 5 TR, vazão de insuflamento 3.278 m³/h, perda de carga disponível 15 mmca, filtro G4 + M5 plano.</t>
  </si>
  <si>
    <t>Fornecimento e instalação de unidade climatizadora do tipo fan coil para dutos, capacidade 4 a 5 TR, vazão de insuflamento 3.567 m³/h, perda de carga disponível 15 mmca, filtro G4 + M5 plano.</t>
  </si>
  <si>
    <t>Fornecimento e instalação de unidade climatizadora do tipo fan coil para dutos, capacidade 4 a 6 TR, vazão de insuflamento 3.832 m³/h, perda de carga disponível 18 mmca, filtro M5 plano.</t>
  </si>
  <si>
    <t>Fornecimento e instalação de unidade climatizadora do tipo fan coil para dutos, capacidade 6 a 7,5 TR, vazão de insuflamento 4.359 m³/h, perda de carga disponível 15 mmca,  filtro G4 + M5 plano.</t>
  </si>
  <si>
    <t>Fornecimento e instalação de unidade climatizadora do tipo fan coil para dutos, capacidade 6 a 9 TR, vazão de insuflamento 5.735 m³/h, perda de carga disponível 18 mmca,  filtro G4 + M5 plano.</t>
  </si>
  <si>
    <t>Unidade climatizadora do tipo fan coil para dutos, capacidade 4 a 5 TR, vazão de insuflamento 3.278 m³/h, perda de carga disponível 15 mmca, filtro G4 + M5 plano.</t>
  </si>
  <si>
    <t>Unidade climatizadora do tipo fan coil para dutos, capacidade 4 a 5 TR, vazão de insuflamento 3.567 m³/h, perda de carga disponível 15 mmca, filtro G4 + M5 plano.</t>
  </si>
  <si>
    <t>Unidade climatizadora do tipo fan coil para dutos, capacidade 4 a 6 TR, vazão de insuflamento 3.832 m³/h, perda de carga disponível 18 mmca, filtro M5 plano.</t>
  </si>
  <si>
    <t>Unidade climatizadora do tipo fan coil para dutos, capacidade 6 a 7,5 TR, vazão de insuflamento 4.359 m³/h, perda de carga disponível 15 mmca,  filtro G4 + M5 plano.</t>
  </si>
  <si>
    <t>Fornecimento e instalação de unidade climatizadora do tipo DOAS - Dedicated Outdoor Ais System, capacidade 12 TR, vazão de insuflamento mínima de 3.888 m³/h, perda de carga disponível 18 mmca, filtro G4 + M5 plissado, referência Airside, equivalente técnico ou superior.</t>
  </si>
  <si>
    <t>Fornecimento e instalação de unidade climatizadora do tipo fan coil para dutos, capacidade 4 a 5 TR, vazão de insuflamento mínima de 3.278 m³/h, com caixa de mistura, perda de carga disponível 15 mmca, filtro G4 + M5 plano, referência Airside, equivalente técnico ou superior.</t>
  </si>
  <si>
    <t>Fornecimento e instalação de unidade climatizadora do tipo fan coil para dutos, capacidade 4 a 5 TR, vazão de insuflamento mínima de 3.567 m³/h, com caixa de mistura, perda de carga disponível 15 mmca, filtro G4 + M5 plano, referência Airside, equivalente técnico ou superior.</t>
  </si>
  <si>
    <t>Fornecimento e instalação de unidade climatizadora do tipo fan coil para dutos, capacidade 4 a 6 TR, vazão de insuflamento mínima de 3.832 m³/h, com caixa de mistura, perda de carga disponível 18 mmca, filtro M5 plano, referência Airside, equivalente técnico ou superior.</t>
  </si>
  <si>
    <t>Fornecimento e instalação de unidade climatizadora do tipo fan coil para dutos, capacidade 6 a 7,5 TR, vazão de insuflamento mínima de 4.359 m³/h, com caixa de mistura, perda de carga disponível 15 mmca,  filtro G4 + M5 plano, referência Airside, equivalente técnico ou superior.</t>
  </si>
  <si>
    <t>Fornecimento e instalação de unidade climatizadora do tipo fan coil para dutos, capacidade 6 a 9 TR, vazão de insuflamento mínima de 5.735 m³/h, com caixa de mistura, perda de carga disponível 18 mmca,  filtro G4 + M5 plano, referência Airside, equivalente técnico ou superior.</t>
  </si>
  <si>
    <t>No-break 10 kVA/ 8 kW completo, com banco de bateriais com autonomia mínima de 30 minutos, conforme Memorial Descritivo e Termo de Referência</t>
  </si>
  <si>
    <t xml:space="preserve">Engenheiro eletricista c/encargos complementares (2 horas por dia) </t>
  </si>
  <si>
    <t xml:space="preserve">Engenheiro mecânico c/encargos complementares (2 horas por dia) </t>
  </si>
  <si>
    <t>Engenheiro civil pleno c/encargos complementares (2 horas por dia) - Coordenador Geral Serviço</t>
  </si>
  <si>
    <t>Raspagem e lixação da pintura antiga (incluindo as placas de fechamento da fachada)</t>
  </si>
  <si>
    <t>Qualquer discrepância porventura observada que possa trazer dúvidas ou embaraços ao desenvolvimento do serviço deverá ser esclarecida com a equipe do pregão da ABIN antes da apresentação proposta.</t>
  </si>
  <si>
    <t>Caso o item (3) não seja cumprido, prevalecerá a interpretação da ABIN.</t>
  </si>
  <si>
    <t>Nestas condições, qualquer omissão do Memorial Descritivo, Planilha Orçamentária ou Projetos não justificará a não execução ou a execução fora das normas e da boa técnica.</t>
  </si>
  <si>
    <t>Os quantitativos foram estimados com base nos Projetos e Memoriais, anexos ao Termo de Referência.</t>
  </si>
  <si>
    <t>Pintura esmalte em portas de madeira (3 demãos) (incluindo as placas de fechamento da fachada)</t>
  </si>
  <si>
    <t>Pintura acrílica paredes c/reboco - branco gelo acetinado</t>
  </si>
  <si>
    <t>Técnico em segurança do trabalho (1/2 turno)</t>
  </si>
  <si>
    <t>Luminária de Embutir - circular para lâmpada E27 LED, instalação em forro de fibra mineral,  com refletor parabólico e aletas de alumínio anodizado brilhante de alta refletância e alta pureza 99,85%, completa. Certificação CE, Garantia de mínima de 02 Anos. .</t>
  </si>
  <si>
    <t>SERVIÇOS FINAIS</t>
  </si>
  <si>
    <t>Cód. 01 - Divisória de saque frontal com rodapé e montantes eletrificáveis modular com painel cego piso ao teto, esp. Mínima 8cm, chapa em MDF, isolamento acústico com espessura mínima de 5 cm, conf. memorial descritivo. Referência: Diviforma Spazio Vinci/Eleganza.</t>
  </si>
  <si>
    <t>Cód. 02 - Divisória de saque frontal com rodapé eletrificável modular com painel cego até 90cm  em MDF e vidro até o forro, com persiana interna, esp. Mínima 8cm, conf. memorial descritivo. Referência: Diviforma Spazio Vinci/Eleganza.</t>
  </si>
  <si>
    <t>Cód. 04 - Divisória de saque frontal com rodapé e montantes eletrificáveis modular painel cego (tipo lambri), piso ao teto, 1 face, espessura final mínima de 65mm, conf. memorial descritivo. Referência: Diviforma Spazio Vinci/Eleganza.</t>
  </si>
  <si>
    <t>Retirada de piso de madeira (tabuão), inclusive sua estrutura e infraestrura elétrica e de piso em seu interior</t>
  </si>
  <si>
    <t>Demolição das instalações elétricas e lógicas, incluindo cabos, tomadas, interruptores, quadros elétricos, nobreak e similares</t>
  </si>
  <si>
    <t>Demolição do sistema de climatização, incluindo equipamentos fan coil, splits, evaporadoras, condensadoras, controladores, difusores</t>
  </si>
  <si>
    <t>TERMOFUSORA PARA TUBOS E CONEXÕES EM PPR COM DIÂMETROS DE 20 A 63 MM, POTÊNCIA DE 800 W, TENSAO 220 V - CHP DIURNO. AF_05/2022</t>
  </si>
  <si>
    <t>TERMOFUSORA PARA TUBOS E CONEXÕES EM PPR COM DIÂMETROS DE 20 A 63 MM, POTÊNCIA DE 800 W, TENSAO 220 V - CHI DIURNO. AF_05/2022</t>
  </si>
  <si>
    <t>ADESIVO PLASTICO PARA PVC, FRASCO COM *850* GR</t>
  </si>
  <si>
    <t>SOLUCAO PREPARADORA / LIMPADORA PARA PVC, FRASCO COM 1000 CM3</t>
  </si>
  <si>
    <t>LIXA D'AGUA EM FOLHA, GRAO 100</t>
  </si>
  <si>
    <t xml:space="preserve"> ANEL BORRACHA, DN 100 MM, PARA TUBO SERIE REFORCADA ESGOTO PREDIAL</t>
  </si>
  <si>
    <t>BASE DE PREÇO: 09/2022 (SINAPI) e 10/2022 (SBC)</t>
  </si>
  <si>
    <t>SINAPI SETEMBRO/2022</t>
  </si>
  <si>
    <t>SINAPI OUTUBRO/2022</t>
  </si>
  <si>
    <t>ENCARGOS SOCIAIS SOBRE PREÇOS DA MÃO-DE-OBRA: 113,60%(HORA)   70,53%(MÊS)- Base SINAPI (09/2022)</t>
  </si>
  <si>
    <t>CPUE 141</t>
  </si>
  <si>
    <t xml:space="preserve">SOLEIRA EM GRANITO, LARGURA 15 CM, ESPESSURA 2,0 CM. AF_09/2020
</t>
  </si>
  <si>
    <t xml:space="preserve">MARMORISTA/GRANITEIRO COM ENCARGOS COMPLEMENTARES </t>
  </si>
  <si>
    <t xml:space="preserve">SOLEIRA EM GRANITO, POLIDO, TIPO ANDORINHA/ QUARTZ/ CASTELO/ CORUMBA OU OUTROS EQUIVALENTES DA REGIAO, L= *15* CM, E= *2,0* CM </t>
  </si>
  <si>
    <t xml:space="preserve">ARGAMASSA COLANTE TIPO AC III </t>
  </si>
  <si>
    <t>Projeto Executivo</t>
  </si>
  <si>
    <t>CPUE 261</t>
  </si>
  <si>
    <t xml:space="preserve">PROJETO INSTALACAO ELETRICA EDIF.RESIDENCIAL </t>
  </si>
  <si>
    <t xml:space="preserve">PROJETO INSTALACOES HIDROSANITARIAS ED. RESIDENCIAL </t>
  </si>
  <si>
    <t xml:space="preserve">PROJETO INSTALACAO INCENDIO </t>
  </si>
  <si>
    <t xml:space="preserve">PROJETO INSTALACAO DE TELEFONE EDIF.RESIDENCIAL </t>
  </si>
  <si>
    <t>Baseado nos coeficientes  da CPU  SBC 000855</t>
  </si>
  <si>
    <t>Filtro y ø3/4</t>
  </si>
  <si>
    <t xml:space="preserve">Filtro y ø3/4 </t>
  </si>
  <si>
    <t>Detector óptico endereçável com base</t>
  </si>
  <si>
    <t>Serviço: MODERNIZAÇÃO DA SUPERINTENDÊNCIA ESTADUAL RIO DE JANEIRO - SERJ/ABIN</t>
  </si>
  <si>
    <t>Divisória de granito 3 cm, cinza andorinha e soleira em granito, largura 15 cm, espessura 2 cm (áreas molhadas)</t>
  </si>
  <si>
    <t>Impermeabilização com argamassa polimérica, 3 demãos (incluindo aplicação na altura de 1 m na vertical e 2 m nos boxes de chuveiro)</t>
  </si>
  <si>
    <t>Piso vinílico semi-flexível em placas, padrão liso, espessura 3,2 mm, fixado com cola, cor âmbar (áreas comuns), classe I (incombustível) ou II-A.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</si>
</sst>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3">
    <numFmt numFmtId="41" formatCode="_-* #,##0_-;\-* #,##0_-;_-* &quot;-&quot;_-;_-@_-"/>
    <numFmt numFmtId="44" formatCode="_-&quot;R$&quot;* #,##0.00_-;\-&quot;R$&quot;* #,##0.00_-;_-&quot;R$&quot;* &quot;-&quot;??_-;_-@_-"/>
    <numFmt numFmtId="43" formatCode="_-* #,##0.00_-;\-* #,##0.00_-;_-* &quot;-&quot;??_-;_-@_-"/>
    <numFmt numFmtId="164" formatCode="_-&quot;R$&quot;\ * #,##0_-;\-&quot;R$&quot;\ * #,##0_-;_-&quot;R$&quot;\ * &quot;-&quot;_-;_-@_-"/>
    <numFmt numFmtId="165" formatCode="_-&quot;R$&quot;\ * #,##0.00_-;\-&quot;R$&quot;\ * #,##0.00_-;_-&quot;R$&quot;\ * &quot;-&quot;??_-;_-@_-"/>
    <numFmt numFmtId="166" formatCode="#,##0.00_ ;\-#,##0.00\ "/>
    <numFmt numFmtId="167" formatCode="_(* #,##0.00_);_(* \(#,##0.00\);_(* &quot;-&quot;??_);_(@_)"/>
    <numFmt numFmtId="168" formatCode="_(&quot;R$ &quot;* #,##0.00_);_(&quot;R$ &quot;* \(#,##0.00\);_(&quot;R$ &quot;* &quot;-&quot;??_);_(@_)"/>
    <numFmt numFmtId="169" formatCode="_(* #,##0.00_);_(* \(#,##0.00\);_(* \-??_);_(@_)"/>
    <numFmt numFmtId="170" formatCode="_([$€-2]* #,##0.00_);_([$€-2]* \(#,##0.00\);_([$€-2]* &quot;-&quot;??_)"/>
    <numFmt numFmtId="171" formatCode="0.000"/>
    <numFmt numFmtId="172" formatCode="0.0000000"/>
    <numFmt numFmtId="173" formatCode="General_)"/>
    <numFmt numFmtId="174" formatCode="&quot;Cr$&quot;#,##0.00_);\(&quot;Cr$&quot;#,##0.00\)"/>
    <numFmt numFmtId="175" formatCode="#.##000"/>
    <numFmt numFmtId="176" formatCode="#.##0,"/>
    <numFmt numFmtId="177" formatCode="\$#,#00"/>
    <numFmt numFmtId="178" formatCode="&quot;N$&quot;#,##0_);\(&quot;N$&quot;#,##0\)"/>
    <numFmt numFmtId="179" formatCode="_(&quot;$&quot;* #,##0.00_);_(&quot;$&quot;* \(#,##0.00\);_(&quot;$&quot;* &quot;-&quot;??_);_(@_)"/>
    <numFmt numFmtId="180" formatCode="\$#,"/>
    <numFmt numFmtId="181" formatCode="_([$€-2]* #,##0.00_);_([$€-2]* \(#,##0.00\);_([$€-2]* \-??_)"/>
    <numFmt numFmtId="182" formatCode="#,#00"/>
    <numFmt numFmtId="183" formatCode="#.00"/>
    <numFmt numFmtId="184" formatCode="_-[$€-2]* #,##0.00_-;\-[$€-2]* #,##0.00_-;_-[$€-2]* &quot;-&quot;??_-"/>
    <numFmt numFmtId="185" formatCode="_(&quot;R$ &quot;* #,##0.00_);_(&quot;R$ &quot;* \(#,##0.00\);_(&quot;R$ &quot;* \-??_);_(@_)"/>
    <numFmt numFmtId="186" formatCode="_(* #,##0.0000_);_(* \(#,##0.0000\);_(* &quot;-&quot;??_);_(@_)"/>
    <numFmt numFmtId="187" formatCode="#,##0.00\ ;&quot; (&quot;#,##0.00\);&quot; -&quot;#\ ;@\ "/>
    <numFmt numFmtId="188" formatCode="_(&quot;Cr$&quot;* #,##0.00_);_(&quot;Cr$&quot;* \(#,##0.00\);_(&quot;Cr$&quot;* &quot;-&quot;??_);_(@_)"/>
    <numFmt numFmtId="189" formatCode="%#,#00"/>
    <numFmt numFmtId="190" formatCode="%#.00"/>
    <numFmt numFmtId="191" formatCode="#,"/>
    <numFmt numFmtId="192" formatCode="_-* #,##0.00\ _D_M_-;\-* #,##0.00\ _D_M_-;_-* &quot;-&quot;??\ _D_M_-;_-@_-"/>
    <numFmt numFmtId="193" formatCode="#."/>
    <numFmt numFmtId="194" formatCode="_-* #,##0.00_-;\-* #,##0.00_-;_-* \-??_-;_-@_-"/>
    <numFmt numFmtId="195" formatCode="_-* #,##0.00\ [$€]_-;\-* #,##0.00\ [$€]_-;_-* &quot;-&quot;??\ [$€]_-;_-@_-"/>
    <numFmt numFmtId="196" formatCode="#,##0.000"/>
    <numFmt numFmtId="197" formatCode="#,##0.0000"/>
    <numFmt numFmtId="198" formatCode="0.0000"/>
    <numFmt numFmtId="199" formatCode="0.00000"/>
    <numFmt numFmtId="200" formatCode="_(* #,##0.000_);_(* \(#,##0.000\);_(* \-??_);_(@_)"/>
    <numFmt numFmtId="201" formatCode="0.000%"/>
    <numFmt numFmtId="202" formatCode="[h]:mm:ss;@"/>
    <numFmt numFmtId="203" formatCode="#,##0.0"/>
  </numFmts>
  <fonts count="129">
    <font>
      <sz val="11"/>
      <color theme="1"/>
      <name val="Calibri"/>
      <family val="2"/>
      <scheme val="minor"/>
    </font>
    <font>
      <sz val="11"/>
      <color theme="1"/>
      <name val="Calibri"/>
      <family val="2"/>
      <scheme val="minor"/>
    </font>
    <font>
      <b/>
      <sz val="11"/>
      <color theme="1"/>
      <name val="Calibri"/>
      <family val="2"/>
      <scheme val="minor"/>
    </font>
    <font>
      <sz val="8"/>
      <name val="Calibri"/>
      <family val="2"/>
      <scheme val="minor"/>
    </font>
    <font>
      <sz val="10"/>
      <name val="Arial"/>
      <family val="2"/>
    </font>
    <font>
      <sz val="10"/>
      <name val="Arial"/>
      <family val="2"/>
    </font>
    <font>
      <b/>
      <sz val="18"/>
      <name val="Arial"/>
      <family val="2"/>
    </font>
    <font>
      <b/>
      <sz val="10"/>
      <name val="Arial"/>
      <family val="2"/>
    </font>
    <font>
      <b/>
      <sz val="12"/>
      <color theme="1"/>
      <name val="Arial"/>
      <family val="2"/>
    </font>
    <font>
      <b/>
      <sz val="14"/>
      <name val="Arial"/>
      <family val="2"/>
    </font>
    <font>
      <sz val="14"/>
      <name val="Arial"/>
      <family val="2"/>
    </font>
    <font>
      <sz val="11"/>
      <color rgb="FFFF0000"/>
      <name val="Calibri"/>
      <family val="2"/>
      <scheme val="minor"/>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11"/>
      <color indexed="8"/>
      <name val="Calibri"/>
      <family val="2"/>
    </font>
    <font>
      <sz val="10"/>
      <name val="MS Sans Serif"/>
      <family val="2"/>
    </font>
    <font>
      <sz val="1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sz val="8"/>
      <color theme="1"/>
      <name val="Arial"/>
      <family val="2"/>
    </font>
    <font>
      <sz val="8"/>
      <color indexed="8"/>
      <name val="Arial"/>
      <family val="2"/>
    </font>
    <font>
      <b/>
      <sz val="18"/>
      <color indexed="56"/>
      <name val="Cambria"/>
      <family val="2"/>
    </font>
    <font>
      <b/>
      <sz val="11"/>
      <name val="Arial"/>
      <family val="2"/>
    </font>
    <font>
      <sz val="8"/>
      <name val="Arial"/>
      <family val="2"/>
    </font>
    <font>
      <b/>
      <sz val="10"/>
      <color indexed="8"/>
      <name val="Arial"/>
      <family val="2"/>
    </font>
    <font>
      <sz val="10"/>
      <color indexed="8"/>
      <name val="Arial"/>
      <family val="2"/>
    </font>
    <font>
      <b/>
      <sz val="8"/>
      <name val="Arial"/>
      <family val="2"/>
    </font>
    <font>
      <sz val="7"/>
      <name val="Arial"/>
      <family val="2"/>
    </font>
    <font>
      <b/>
      <sz val="9"/>
      <name val="Arial"/>
      <family val="2"/>
    </font>
    <font>
      <b/>
      <sz val="1"/>
      <color indexed="8"/>
      <name val="Courier"/>
      <family val="3"/>
    </font>
    <font>
      <b/>
      <sz val="10"/>
      <name val="Helv"/>
    </font>
    <font>
      <sz val="10"/>
      <name val="Geneva"/>
      <family val="2"/>
    </font>
    <font>
      <b/>
      <sz val="18"/>
      <name val="Times New Roman"/>
      <family val="1"/>
    </font>
    <font>
      <sz val="1"/>
      <color indexed="8"/>
      <name val="Courier"/>
      <family val="3"/>
    </font>
    <font>
      <i/>
      <sz val="8"/>
      <color indexed="12"/>
      <name val="Arial"/>
      <family val="2"/>
    </font>
    <font>
      <b/>
      <sz val="11"/>
      <color indexed="56"/>
      <name val="Calibri"/>
      <family val="2"/>
    </font>
    <font>
      <sz val="10"/>
      <name val="SimSun"/>
      <family val="2"/>
    </font>
    <font>
      <u/>
      <sz val="10"/>
      <color indexed="36"/>
      <name val="Arial"/>
      <family val="2"/>
    </font>
    <font>
      <b/>
      <sz val="12"/>
      <color indexed="8"/>
      <name val="Arial"/>
      <family val="2"/>
    </font>
    <font>
      <b/>
      <sz val="12"/>
      <name val="Helv"/>
    </font>
    <font>
      <sz val="10"/>
      <name val="Courier"/>
      <family val="3"/>
    </font>
    <font>
      <b/>
      <sz val="11"/>
      <name val="Helv"/>
    </font>
    <font>
      <sz val="10"/>
      <name val="Times New Roman"/>
      <family val="1"/>
    </font>
    <font>
      <sz val="10"/>
      <name val="Courier New"/>
      <family val="3"/>
    </font>
    <font>
      <sz val="1"/>
      <color indexed="18"/>
      <name val="Courier"/>
      <family val="3"/>
    </font>
    <font>
      <b/>
      <sz val="8"/>
      <color indexed="10"/>
      <name val="Arial"/>
      <family val="2"/>
    </font>
    <font>
      <b/>
      <sz val="7"/>
      <color indexed="10"/>
      <name val="Arial"/>
      <family val="2"/>
    </font>
    <font>
      <b/>
      <sz val="15"/>
      <color indexed="56"/>
      <name val="Calibri"/>
      <family val="2"/>
    </font>
    <font>
      <b/>
      <sz val="13"/>
      <color indexed="56"/>
      <name val="Calibri"/>
      <family val="2"/>
    </font>
    <font>
      <sz val="10"/>
      <color indexed="8"/>
      <name val="Calibri"/>
      <family val="2"/>
    </font>
    <font>
      <sz val="10"/>
      <name val="Arial"/>
      <family val="2"/>
      <charset val="1"/>
    </font>
    <font>
      <sz val="10"/>
      <color indexed="8"/>
      <name val="Times New Roman"/>
      <family val="1"/>
    </font>
    <font>
      <sz val="11"/>
      <color rgb="FF9C6500"/>
      <name val="Calibri"/>
      <family val="2"/>
      <scheme val="minor"/>
    </font>
    <font>
      <sz val="11"/>
      <color rgb="FF000000"/>
      <name val="Calibri"/>
      <family val="2"/>
    </font>
    <font>
      <sz val="11"/>
      <color rgb="FF000000"/>
      <name val="Calibri"/>
      <family val="2"/>
      <charset val="1"/>
    </font>
    <font>
      <sz val="10"/>
      <color theme="1"/>
      <name val="Arial"/>
      <family val="2"/>
    </font>
    <font>
      <sz val="10"/>
      <name val="MS Sans Serif"/>
      <family val="2"/>
    </font>
    <font>
      <u/>
      <sz val="11"/>
      <color theme="10"/>
      <name val="Calibri"/>
      <family val="2"/>
      <scheme val="minor"/>
    </font>
    <font>
      <b/>
      <sz val="11"/>
      <name val="Calibri"/>
      <family val="2"/>
      <scheme val="minor"/>
    </font>
    <font>
      <sz val="9"/>
      <name val="Calibri"/>
      <family val="2"/>
      <scheme val="minor"/>
    </font>
    <font>
      <sz val="9"/>
      <name val="Arial"/>
      <family val="2"/>
    </font>
    <font>
      <sz val="10"/>
      <name val="Calibri"/>
      <family val="2"/>
      <scheme val="minor"/>
    </font>
    <font>
      <sz val="9"/>
      <color rgb="FFFF0000"/>
      <name val="Calibri"/>
      <family val="2"/>
      <scheme val="minor"/>
    </font>
    <font>
      <sz val="9"/>
      <color indexed="81"/>
      <name val="Segoe UI"/>
      <family val="2"/>
    </font>
    <font>
      <b/>
      <sz val="9"/>
      <color indexed="81"/>
      <name val="Segoe UI"/>
      <family val="2"/>
    </font>
    <font>
      <b/>
      <sz val="16"/>
      <color theme="1"/>
      <name val="Calibri"/>
      <family val="2"/>
      <scheme val="minor"/>
    </font>
    <font>
      <sz val="10"/>
      <color rgb="FFFF0000"/>
      <name val="Arial"/>
      <family val="2"/>
    </font>
    <font>
      <sz val="13"/>
      <color rgb="FF000000"/>
      <name val="Calibri"/>
      <family val="2"/>
    </font>
    <font>
      <sz val="12"/>
      <color rgb="FF000000"/>
      <name val="Calibri"/>
      <family val="2"/>
    </font>
    <font>
      <b/>
      <sz val="20"/>
      <color rgb="FF000000"/>
      <name val="Calibri"/>
      <family val="2"/>
    </font>
    <font>
      <sz val="9"/>
      <color rgb="FF000000"/>
      <name val="Calibri"/>
      <family val="2"/>
    </font>
    <font>
      <b/>
      <sz val="11"/>
      <color rgb="FF000000"/>
      <name val="Calibri"/>
      <family val="2"/>
    </font>
    <font>
      <b/>
      <sz val="12"/>
      <color rgb="FF000000"/>
      <name val="Calibri"/>
      <family val="2"/>
    </font>
    <font>
      <b/>
      <sz val="18"/>
      <color rgb="FF000000"/>
      <name val="Calibri"/>
      <family val="2"/>
    </font>
    <font>
      <sz val="16"/>
      <color theme="1"/>
      <name val="Calibri"/>
      <family val="2"/>
      <scheme val="minor"/>
    </font>
    <font>
      <sz val="16"/>
      <name val="Calibri"/>
      <family val="2"/>
      <scheme val="minor"/>
    </font>
    <font>
      <sz val="16"/>
      <color rgb="FFFF0000"/>
      <name val="Calibri"/>
      <family val="2"/>
      <scheme val="minor"/>
    </font>
    <font>
      <sz val="16"/>
      <name val="Calibri"/>
      <family val="2"/>
    </font>
    <font>
      <b/>
      <sz val="16"/>
      <name val="Calibri"/>
      <family val="2"/>
      <scheme val="minor"/>
    </font>
    <font>
      <i/>
      <sz val="16"/>
      <name val="Calibri"/>
      <family val="2"/>
      <scheme val="minor"/>
    </font>
    <font>
      <sz val="16"/>
      <name val="Arial"/>
      <family val="2"/>
    </font>
    <font>
      <sz val="11"/>
      <name val="Arial"/>
      <family val="1"/>
    </font>
    <font>
      <b/>
      <sz val="11"/>
      <name val="Arial"/>
      <family val="1"/>
    </font>
    <font>
      <b/>
      <sz val="10"/>
      <name val="Arial"/>
      <family val="1"/>
    </font>
    <font>
      <sz val="10"/>
      <name val="Arial"/>
      <family val="1"/>
    </font>
    <font>
      <sz val="10"/>
      <color rgb="FF000000"/>
      <name val="Arial"/>
      <family val="1"/>
    </font>
    <font>
      <sz val="11"/>
      <color rgb="FFFF0000"/>
      <name val="Calibri"/>
      <family val="2"/>
    </font>
    <font>
      <b/>
      <sz val="12"/>
      <name val="Calibri"/>
      <family val="2"/>
    </font>
    <font>
      <b/>
      <sz val="12"/>
      <name val="Arial"/>
      <family val="2"/>
    </font>
    <font>
      <sz val="12"/>
      <name val="Arial"/>
      <family val="2"/>
    </font>
    <font>
      <sz val="12"/>
      <name val="Calibri"/>
      <family val="2"/>
      <scheme val="minor"/>
    </font>
    <font>
      <sz val="10"/>
      <color indexed="10"/>
      <name val="Arial"/>
      <family val="2"/>
    </font>
    <font>
      <vertAlign val="superscript"/>
      <sz val="12"/>
      <name val="Arial"/>
      <family val="2"/>
    </font>
    <font>
      <b/>
      <sz val="48"/>
      <color theme="1"/>
      <name val="Calibri"/>
      <family val="2"/>
      <scheme val="minor"/>
    </font>
    <font>
      <b/>
      <sz val="10"/>
      <color theme="1"/>
      <name val="Arial"/>
      <family val="2"/>
    </font>
    <font>
      <sz val="10"/>
      <color rgb="FF000000"/>
      <name val="Arial"/>
    </font>
    <font>
      <b/>
      <sz val="8"/>
      <color theme="1"/>
      <name val="Calibri"/>
      <family val="2"/>
      <scheme val="minor"/>
    </font>
    <font>
      <sz val="8"/>
      <color theme="1"/>
      <name val="Calibri"/>
      <family val="2"/>
      <scheme val="minor"/>
    </font>
    <font>
      <b/>
      <sz val="8"/>
      <color theme="0" tint="-4.9989318521683403E-2"/>
      <name val="Arial"/>
      <family val="2"/>
    </font>
    <font>
      <sz val="9"/>
      <color rgb="FF663D14"/>
      <name val="Arial"/>
      <family val="2"/>
    </font>
    <font>
      <b/>
      <sz val="9"/>
      <color theme="0" tint="-4.9989318521683403E-2"/>
      <name val="Arial"/>
      <family val="2"/>
    </font>
    <font>
      <u/>
      <sz val="9"/>
      <color rgb="FF000000"/>
      <name val="Calibri"/>
      <family val="2"/>
    </font>
    <font>
      <sz val="9"/>
      <color theme="1"/>
      <name val="Calibri"/>
      <family val="2"/>
    </font>
    <font>
      <sz val="9"/>
      <color theme="1"/>
      <name val="Calibri"/>
      <family val="2"/>
      <scheme val="minor"/>
    </font>
    <font>
      <b/>
      <sz val="11"/>
      <name val="Calibri"/>
      <family val="2"/>
    </font>
  </fonts>
  <fills count="104">
    <fill>
      <patternFill patternType="none"/>
    </fill>
    <fill>
      <patternFill patternType="gray125"/>
    </fill>
    <fill>
      <patternFill patternType="solid">
        <fgColor theme="4" tint="0.79998168889431442"/>
        <bgColor indexed="64"/>
      </patternFill>
    </fill>
    <fill>
      <patternFill patternType="solid">
        <fgColor indexed="22"/>
        <bgColor indexed="64"/>
      </patternFill>
    </fill>
    <fill>
      <patternFill patternType="solid">
        <fgColor theme="0" tint="-0.14999847407452621"/>
        <bgColor indexed="64"/>
      </patternFill>
    </fill>
    <fill>
      <patternFill patternType="solid">
        <fgColor indexed="43"/>
        <bgColor indexed="64"/>
      </patternFill>
    </fill>
    <fill>
      <patternFill patternType="solid">
        <fgColor rgb="FFCCFFFF"/>
        <bgColor indexed="64"/>
      </patternFill>
    </fill>
    <fill>
      <patternFill patternType="solid">
        <fgColor indexed="31"/>
        <bgColor indexed="42"/>
      </patternFill>
    </fill>
    <fill>
      <patternFill patternType="solid">
        <fgColor indexed="29"/>
        <bgColor indexed="45"/>
      </patternFill>
    </fill>
    <fill>
      <patternFill patternType="solid">
        <fgColor indexed="26"/>
        <bgColor indexed="9"/>
      </patternFill>
    </fill>
    <fill>
      <patternFill patternType="solid">
        <fgColor indexed="27"/>
        <bgColor indexed="41"/>
      </patternFill>
    </fill>
    <fill>
      <patternFill patternType="solid">
        <fgColor indexed="22"/>
        <bgColor indexed="44"/>
      </patternFill>
    </fill>
    <fill>
      <patternFill patternType="solid">
        <fgColor indexed="43"/>
        <bgColor indexed="26"/>
      </patternFill>
    </fill>
    <fill>
      <patternFill patternType="solid">
        <fgColor indexed="44"/>
        <bgColor indexed="22"/>
      </patternFill>
    </fill>
    <fill>
      <patternFill patternType="solid">
        <fgColor indexed="49"/>
        <bgColor indexed="40"/>
      </patternFill>
    </fill>
    <fill>
      <patternFill patternType="solid">
        <fgColor indexed="42"/>
        <bgColor indexed="27"/>
      </patternFill>
    </fill>
    <fill>
      <patternFill patternType="solid">
        <fgColor indexed="9"/>
        <bgColor indexed="26"/>
      </patternFill>
    </fill>
    <fill>
      <patternFill patternType="solid">
        <fgColor indexed="55"/>
        <bgColor indexed="23"/>
      </patternFill>
    </fill>
    <fill>
      <patternFill patternType="solid">
        <fgColor indexed="10"/>
        <bgColor indexed="60"/>
      </patternFill>
    </fill>
    <fill>
      <patternFill patternType="solid">
        <fgColor indexed="57"/>
        <bgColor indexed="21"/>
      </patternFill>
    </fill>
    <fill>
      <patternFill patternType="solid">
        <fgColor indexed="54"/>
        <bgColor indexed="23"/>
      </patternFill>
    </fill>
    <fill>
      <patternFill patternType="solid">
        <fgColor indexed="53"/>
        <bgColor indexed="52"/>
      </patternFill>
    </fill>
    <fill>
      <patternFill patternType="solid">
        <fgColor indexed="45"/>
        <bgColor indexed="29"/>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7"/>
      </patternFill>
    </fill>
    <fill>
      <patternFill patternType="solid">
        <fgColor theme="7" tint="0.59999389629810485"/>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32"/>
      </patternFill>
    </fill>
    <fill>
      <patternFill patternType="solid">
        <fgColor indexed="26"/>
      </patternFill>
    </fill>
    <fill>
      <patternFill patternType="solid">
        <fgColor indexed="31"/>
        <bgColor indexed="22"/>
      </patternFill>
    </fill>
    <fill>
      <patternFill patternType="solid">
        <fgColor indexed="46"/>
        <bgColor indexed="24"/>
      </patternFill>
    </fill>
    <fill>
      <patternFill patternType="solid">
        <fgColor indexed="47"/>
        <b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44"/>
        <bgColor indexed="31"/>
      </patternFill>
    </fill>
    <fill>
      <patternFill patternType="solid">
        <fgColor indexed="11"/>
        <bgColor indexed="49"/>
      </patternFill>
    </fill>
    <fill>
      <patternFill patternType="solid">
        <fgColor indexed="51"/>
        <bgColor indexed="1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0"/>
        <bgColor indexed="21"/>
      </patternFill>
    </fill>
    <fill>
      <patternFill patternType="solid">
        <fgColor indexed="20"/>
        <bgColor indexed="36"/>
      </patternFill>
    </fill>
    <fill>
      <patternFill patternType="solid">
        <fgColor indexed="52"/>
        <bgColor indexed="51"/>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bgColor indexed="64"/>
      </patternFill>
    </fill>
    <fill>
      <patternFill patternType="solid">
        <fgColor indexed="22"/>
        <bgColor indexed="31"/>
      </patternFill>
    </fill>
    <fill>
      <patternFill patternType="solid">
        <fgColor indexed="55"/>
      </patternFill>
    </fill>
    <fill>
      <patternFill patternType="solid">
        <fgColor indexed="54"/>
      </patternFill>
    </fill>
    <fill>
      <patternFill patternType="solid">
        <fgColor indexed="27"/>
        <bgColor indexed="64"/>
      </patternFill>
    </fill>
    <fill>
      <patternFill patternType="gray0625"/>
    </fill>
    <fill>
      <patternFill patternType="solid">
        <fgColor indexed="62"/>
        <bgColor indexed="56"/>
      </patternFill>
    </fill>
    <fill>
      <patternFill patternType="solid">
        <fgColor indexed="9"/>
        <bgColor indexed="64"/>
      </patternFill>
    </fill>
    <fill>
      <patternFill patternType="solid">
        <fgColor rgb="FFD9E1F2"/>
        <bgColor indexed="64"/>
      </patternFill>
    </fill>
    <fill>
      <patternFill patternType="solid">
        <fgColor theme="4" tint="0.59999389629810485"/>
        <bgColor indexed="64"/>
      </patternFill>
    </fill>
    <fill>
      <patternFill patternType="solid">
        <fgColor theme="0"/>
        <bgColor indexed="64"/>
      </patternFill>
    </fill>
    <fill>
      <patternFill patternType="solid">
        <fgColor rgb="FFFFFFFF"/>
        <bgColor rgb="FF000000"/>
      </patternFill>
    </fill>
    <fill>
      <patternFill patternType="solid">
        <fgColor rgb="FF808080"/>
        <bgColor rgb="FF000000"/>
      </patternFill>
    </fill>
    <fill>
      <patternFill patternType="solid">
        <fgColor theme="0"/>
        <bgColor rgb="FFFFFFFF"/>
      </patternFill>
    </fill>
    <fill>
      <patternFill patternType="solid">
        <fgColor theme="4" tint="0.39997558519241921"/>
        <bgColor indexed="64"/>
      </patternFill>
    </fill>
    <fill>
      <patternFill patternType="solid">
        <fgColor rgb="FF92D050"/>
        <bgColor indexed="64"/>
      </patternFill>
    </fill>
    <fill>
      <patternFill patternType="solid">
        <fgColor rgb="FF00B0F0"/>
        <bgColor indexed="64"/>
      </patternFill>
    </fill>
    <fill>
      <patternFill patternType="solid">
        <fgColor theme="2" tint="-0.499984740745262"/>
        <bgColor rgb="FF000000"/>
      </patternFill>
    </fill>
    <fill>
      <patternFill patternType="solid">
        <fgColor theme="2" tint="-0.499984740745262"/>
        <bgColor indexed="64"/>
      </patternFill>
    </fill>
    <fill>
      <patternFill patternType="solid">
        <fgColor theme="7"/>
        <bgColor indexed="64"/>
      </patternFill>
    </fill>
    <fill>
      <patternFill patternType="solid">
        <fgColor rgb="FFFFFF00"/>
        <bgColor indexed="64"/>
      </patternFill>
    </fill>
    <fill>
      <patternFill patternType="solid">
        <fgColor theme="1" tint="0.499984740745262"/>
        <bgColor indexed="64"/>
      </patternFill>
    </fill>
    <fill>
      <patternFill patternType="solid">
        <fgColor rgb="FFFCF8E3"/>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1" tint="0.34998626667073579"/>
        <bgColor indexed="64"/>
      </patternFill>
    </fill>
  </fills>
  <borders count="16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thin">
        <color indexed="64"/>
      </left>
      <right style="thin">
        <color indexed="64"/>
      </right>
      <top/>
      <bottom/>
      <diagonal/>
    </border>
    <border>
      <left style="medium">
        <color indexed="64"/>
      </left>
      <right style="medium">
        <color indexed="64"/>
      </right>
      <top style="double">
        <color indexed="64"/>
      </top>
      <bottom/>
      <diagonal/>
    </border>
    <border>
      <left/>
      <right/>
      <top/>
      <bottom style="medium">
        <color indexed="30"/>
      </bottom>
      <diagonal/>
    </border>
    <border>
      <left style="double">
        <color indexed="8"/>
      </left>
      <right style="thin">
        <color indexed="8"/>
      </right>
      <top style="double">
        <color indexed="8"/>
      </top>
      <bottom/>
      <diagonal/>
    </border>
    <border>
      <left/>
      <right/>
      <top/>
      <bottom style="thick">
        <color indexed="62"/>
      </bottom>
      <diagonal/>
    </border>
    <border>
      <left/>
      <right/>
      <top/>
      <bottom style="thick">
        <color indexed="56"/>
      </bottom>
      <diagonal/>
    </border>
    <border>
      <left/>
      <right/>
      <top style="thin">
        <color indexed="62"/>
      </top>
      <bottom style="double">
        <color indexed="62"/>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rgb="FFCCCCCC"/>
      </left>
      <right style="medium">
        <color rgb="FFCCCCCC"/>
      </right>
      <top style="medium">
        <color rgb="FFCCCCCC"/>
      </top>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style="thin">
        <color auto="1"/>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CCCCCC"/>
      </left>
      <right style="thin">
        <color rgb="FFCCCCCC"/>
      </right>
      <top style="thin">
        <color rgb="FFCCCCCC"/>
      </top>
      <bottom style="thin">
        <color rgb="FFCCCCCC"/>
      </bottom>
      <diagonal/>
    </border>
    <border>
      <left/>
      <right style="medium">
        <color indexed="64"/>
      </right>
      <top style="thin">
        <color indexed="64"/>
      </top>
      <bottom style="thin">
        <color indexed="64"/>
      </bottom>
      <diagonal/>
    </border>
    <border>
      <left style="thin">
        <color auto="1"/>
      </left>
      <right style="medium">
        <color indexed="64"/>
      </right>
      <top style="thin">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rgb="FFCCCCCC"/>
      </left>
      <right style="thin">
        <color rgb="FFCCCCCC"/>
      </right>
      <top/>
      <bottom style="thin">
        <color rgb="FFCCCCCC"/>
      </bottom>
      <diagonal/>
    </border>
    <border>
      <left/>
      <right style="dotted">
        <color indexed="64"/>
      </right>
      <top/>
      <bottom/>
      <diagonal/>
    </border>
    <border>
      <left style="dotted">
        <color indexed="64"/>
      </left>
      <right style="dotted">
        <color indexed="64"/>
      </right>
      <top/>
      <bottom/>
      <diagonal/>
    </border>
    <border>
      <left style="medium">
        <color indexed="64"/>
      </left>
      <right/>
      <top style="medium">
        <color rgb="FFDDDDDD"/>
      </top>
      <bottom/>
      <diagonal/>
    </border>
    <border>
      <left/>
      <right/>
      <top style="medium">
        <color rgb="FFDDDDDD"/>
      </top>
      <bottom/>
      <diagonal/>
    </border>
    <border>
      <left/>
      <right style="medium">
        <color indexed="64"/>
      </right>
      <top style="medium">
        <color rgb="FFDDDDDD"/>
      </top>
      <bottom/>
      <diagonal/>
    </border>
    <border>
      <left style="medium">
        <color indexed="64"/>
      </left>
      <right style="medium">
        <color indexed="64"/>
      </right>
      <top style="medium">
        <color rgb="FFDDDDDD"/>
      </top>
      <bottom style="medium">
        <color indexed="64"/>
      </bottom>
      <diagonal/>
    </border>
    <border>
      <left style="medium">
        <color indexed="64"/>
      </left>
      <right/>
      <top style="medium">
        <color rgb="FFDDDDDD"/>
      </top>
      <bottom style="medium">
        <color indexed="64"/>
      </bottom>
      <diagonal/>
    </border>
    <border>
      <left/>
      <right/>
      <top style="medium">
        <color rgb="FFDDDDDD"/>
      </top>
      <bottom style="medium">
        <color indexed="64"/>
      </bottom>
      <diagonal/>
    </border>
    <border>
      <left/>
      <right style="medium">
        <color indexed="64"/>
      </right>
      <top style="medium">
        <color rgb="FFDDDDDD"/>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auto="1"/>
      </right>
      <top/>
      <bottom style="medium">
        <color indexed="64"/>
      </bottom>
      <diagonal/>
    </border>
    <border>
      <left style="thin">
        <color rgb="FF000000"/>
      </left>
      <right style="thin">
        <color rgb="FF000000"/>
      </right>
      <top style="thin">
        <color rgb="FF000000"/>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auto="1"/>
      </right>
      <top style="thin">
        <color auto="1"/>
      </top>
      <bottom style="medium">
        <color indexed="64"/>
      </bottom>
      <diagonal/>
    </border>
  </borders>
  <cellStyleXfs count="2201">
    <xf numFmtId="0" fontId="0" fillId="0" borderId="0"/>
    <xf numFmtId="43" fontId="1" fillId="0" borderId="0" applyFont="0" applyFill="0" applyBorder="0" applyAlignment="0" applyProtection="0"/>
    <xf numFmtId="9" fontId="1" fillId="0" borderId="0" applyFont="0" applyFill="0" applyBorder="0" applyAlignment="0" applyProtection="0"/>
    <xf numFmtId="0" fontId="4" fillId="0" borderId="0"/>
    <xf numFmtId="0" fontId="5" fillId="0" borderId="0"/>
    <xf numFmtId="0" fontId="5" fillId="0" borderId="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5" fillId="16" borderId="55" applyNumberFormat="0" applyAlignment="0" applyProtection="0"/>
    <xf numFmtId="0" fontId="15" fillId="16" borderId="55" applyNumberFormat="0" applyAlignment="0" applyProtection="0"/>
    <xf numFmtId="0" fontId="16" fillId="17" borderId="56" applyNumberFormat="0" applyAlignment="0" applyProtection="0"/>
    <xf numFmtId="0" fontId="16" fillId="17" borderId="56" applyNumberFormat="0" applyAlignment="0" applyProtection="0"/>
    <xf numFmtId="0" fontId="17" fillId="0" borderId="57" applyNumberFormat="0" applyFill="0" applyAlignment="0" applyProtection="0"/>
    <xf numFmtId="0" fontId="17" fillId="0" borderId="57" applyNumberFormat="0" applyFill="0" applyAlignment="0" applyProtection="0"/>
    <xf numFmtId="0" fontId="13" fillId="14" borderId="0" applyNumberFormat="0" applyBorder="0" applyAlignment="0" applyProtection="0"/>
    <xf numFmtId="0" fontId="13" fillId="14"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8" fillId="12" borderId="55" applyNumberFormat="0" applyAlignment="0" applyProtection="0"/>
    <xf numFmtId="0" fontId="18" fillId="12" borderId="55" applyNumberFormat="0" applyAlignment="0" applyProtection="0"/>
    <xf numFmtId="170" fontId="5" fillId="0" borderId="0" applyFont="0" applyFill="0" applyBorder="0" applyAlignment="0" applyProtection="0"/>
    <xf numFmtId="0" fontId="19" fillId="22" borderId="0" applyNumberFormat="0" applyBorder="0" applyAlignment="0" applyProtection="0"/>
    <xf numFmtId="168" fontId="5" fillId="0" borderId="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20" fillId="12" borderId="0" applyNumberFormat="0" applyBorder="0" applyAlignment="0" applyProtection="0"/>
    <xf numFmtId="0" fontId="1" fillId="0" borderId="0"/>
    <xf numFmtId="0" fontId="5" fillId="9" borderId="58" applyNumberFormat="0" applyAlignment="0" applyProtection="0"/>
    <xf numFmtId="0" fontId="5" fillId="9" borderId="58" applyNumberFormat="0" applyAlignment="0" applyProtection="0"/>
    <xf numFmtId="9" fontId="5" fillId="0" borderId="0" applyFill="0" applyBorder="0" applyAlignment="0" applyProtection="0"/>
    <xf numFmtId="9" fontId="5" fillId="0" borderId="0" applyFont="0" applyFill="0" applyBorder="0" applyAlignment="0" applyProtection="0"/>
    <xf numFmtId="0" fontId="21" fillId="16" borderId="59" applyNumberFormat="0" applyAlignment="0" applyProtection="0"/>
    <xf numFmtId="0" fontId="21" fillId="16" borderId="59" applyNumberFormat="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60" applyNumberFormat="0" applyFill="0" applyAlignment="0" applyProtection="0"/>
    <xf numFmtId="0" fontId="24" fillId="0" borderId="0" applyNumberFormat="0" applyFill="0" applyBorder="0" applyAlignment="0" applyProtection="0"/>
    <xf numFmtId="0" fontId="26" fillId="0" borderId="61" applyNumberFormat="0" applyFill="0" applyAlignment="0" applyProtection="0"/>
    <xf numFmtId="0" fontId="26" fillId="0" borderId="61" applyNumberFormat="0" applyFill="0" applyAlignment="0" applyProtection="0"/>
    <xf numFmtId="0" fontId="27" fillId="0" borderId="62" applyNumberFormat="0" applyFill="0" applyAlignment="0" applyProtection="0"/>
    <xf numFmtId="0" fontId="27" fillId="0" borderId="62"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63" applyNumberFormat="0" applyFill="0" applyAlignment="0" applyProtection="0"/>
    <xf numFmtId="0" fontId="28" fillId="0" borderId="63" applyNumberFormat="0" applyFill="0" applyAlignment="0" applyProtection="0"/>
    <xf numFmtId="169" fontId="5" fillId="0" borderId="0" applyFill="0" applyBorder="0" applyAlignment="0" applyProtection="0"/>
    <xf numFmtId="169" fontId="5" fillId="0" borderId="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69" fontId="5" fillId="0" borderId="0" applyFill="0" applyBorder="0" applyAlignment="0" applyProtection="0"/>
    <xf numFmtId="0" fontId="29" fillId="0" borderId="0"/>
    <xf numFmtId="0" fontId="21" fillId="16" borderId="76" applyNumberFormat="0" applyAlignment="0" applyProtection="0"/>
    <xf numFmtId="0" fontId="5" fillId="9" borderId="75" applyNumberFormat="0" applyAlignment="0" applyProtection="0"/>
    <xf numFmtId="0" fontId="28" fillId="0" borderId="77" applyNumberFormat="0" applyFill="0" applyAlignment="0" applyProtection="0"/>
    <xf numFmtId="0" fontId="28" fillId="0" borderId="67" applyNumberFormat="0" applyFill="0" applyAlignment="0" applyProtection="0"/>
    <xf numFmtId="0" fontId="28" fillId="0" borderId="67" applyNumberFormat="0" applyFill="0" applyAlignment="0" applyProtection="0"/>
    <xf numFmtId="0" fontId="28" fillId="0" borderId="77" applyNumberFormat="0" applyFill="0" applyAlignment="0" applyProtection="0"/>
    <xf numFmtId="0" fontId="28" fillId="0" borderId="71" applyNumberFormat="0" applyFill="0" applyAlignment="0" applyProtection="0"/>
    <xf numFmtId="0" fontId="28" fillId="0" borderId="71" applyNumberFormat="0" applyFill="0" applyAlignment="0" applyProtection="0"/>
    <xf numFmtId="0" fontId="21" fillId="16" borderId="66" applyNumberFormat="0" applyAlignment="0" applyProtection="0"/>
    <xf numFmtId="0" fontId="21" fillId="16" borderId="66" applyNumberFormat="0" applyAlignment="0" applyProtection="0"/>
    <xf numFmtId="0" fontId="5" fillId="9" borderId="65" applyNumberFormat="0" applyAlignment="0" applyProtection="0"/>
    <xf numFmtId="0" fontId="5" fillId="9" borderId="65" applyNumberFormat="0" applyAlignment="0" applyProtection="0"/>
    <xf numFmtId="0" fontId="21" fillId="16" borderId="76" applyNumberFormat="0" applyAlignment="0" applyProtection="0"/>
    <xf numFmtId="0" fontId="21" fillId="16" borderId="70" applyNumberFormat="0" applyAlignment="0" applyProtection="0"/>
    <xf numFmtId="0" fontId="21" fillId="16" borderId="70" applyNumberFormat="0" applyAlignment="0" applyProtection="0"/>
    <xf numFmtId="0" fontId="5" fillId="9" borderId="75" applyNumberFormat="0" applyAlignment="0" applyProtection="0"/>
    <xf numFmtId="0" fontId="5" fillId="9" borderId="69" applyNumberFormat="0" applyAlignment="0" applyProtection="0"/>
    <xf numFmtId="0" fontId="5" fillId="9" borderId="69" applyNumberFormat="0" applyAlignment="0" applyProtection="0"/>
    <xf numFmtId="0" fontId="18" fillId="12" borderId="64" applyNumberFormat="0" applyAlignment="0" applyProtection="0"/>
    <xf numFmtId="0" fontId="18" fillId="12" borderId="64" applyNumberFormat="0" applyAlignment="0" applyProtection="0"/>
    <xf numFmtId="0" fontId="18" fillId="12" borderId="74" applyNumberFormat="0" applyAlignment="0" applyProtection="0"/>
    <xf numFmtId="0" fontId="18" fillId="12" borderId="74" applyNumberFormat="0" applyAlignment="0" applyProtection="0"/>
    <xf numFmtId="0" fontId="18" fillId="12" borderId="68" applyNumberFormat="0" applyAlignment="0" applyProtection="0"/>
    <xf numFmtId="0" fontId="18" fillId="12" borderId="68" applyNumberFormat="0" applyAlignment="0" applyProtection="0"/>
    <xf numFmtId="0" fontId="15" fillId="16" borderId="78" applyNumberFormat="0" applyAlignment="0" applyProtection="0"/>
    <xf numFmtId="0" fontId="15" fillId="16" borderId="78" applyNumberFormat="0" applyAlignment="0" applyProtection="0"/>
    <xf numFmtId="0" fontId="15" fillId="16" borderId="64" applyNumberFormat="0" applyAlignment="0" applyProtection="0"/>
    <xf numFmtId="0" fontId="15" fillId="16" borderId="64" applyNumberFormat="0" applyAlignment="0" applyProtection="0"/>
    <xf numFmtId="0" fontId="15" fillId="16" borderId="68" applyNumberFormat="0" applyAlignment="0" applyProtection="0"/>
    <xf numFmtId="0" fontId="15" fillId="16" borderId="74" applyNumberFormat="0" applyAlignment="0" applyProtection="0"/>
    <xf numFmtId="0" fontId="21" fillId="16" borderId="80" applyNumberFormat="0" applyAlignment="0" applyProtection="0"/>
    <xf numFmtId="0" fontId="21" fillId="16" borderId="80" applyNumberFormat="0" applyAlignment="0" applyProtection="0"/>
    <xf numFmtId="0" fontId="15" fillId="16" borderId="68" applyNumberFormat="0" applyAlignment="0" applyProtection="0"/>
    <xf numFmtId="0" fontId="15" fillId="16" borderId="74" applyNumberFormat="0" applyAlignment="0" applyProtection="0"/>
    <xf numFmtId="0" fontId="18" fillId="12" borderId="78" applyNumberFormat="0" applyAlignment="0" applyProtection="0"/>
    <xf numFmtId="0" fontId="28" fillId="0" borderId="81" applyNumberFormat="0" applyFill="0" applyAlignment="0" applyProtection="0"/>
    <xf numFmtId="0" fontId="28" fillId="0" borderId="81" applyNumberFormat="0" applyFill="0" applyAlignment="0" applyProtection="0"/>
    <xf numFmtId="0" fontId="18" fillId="12" borderId="78" applyNumberFormat="0" applyAlignment="0" applyProtection="0"/>
    <xf numFmtId="0" fontId="5" fillId="9" borderId="79" applyNumberFormat="0" applyAlignment="0" applyProtection="0"/>
    <xf numFmtId="0" fontId="5" fillId="9" borderId="79" applyNumberFormat="0" applyAlignment="0" applyProtection="0"/>
    <xf numFmtId="0" fontId="43" fillId="0" borderId="0"/>
    <xf numFmtId="173" fontId="46" fillId="0" borderId="91" applyBorder="0" applyAlignment="0">
      <alignment horizontal="center" vertical="center"/>
    </xf>
    <xf numFmtId="173" fontId="7" fillId="0" borderId="91" applyBorder="0" applyAlignment="0">
      <alignment horizontal="center"/>
    </xf>
    <xf numFmtId="173" fontId="52" fillId="0" borderId="91" applyBorder="0" applyAlignment="0">
      <alignment horizontal="center" vertical="center"/>
    </xf>
    <xf numFmtId="173" fontId="50" fillId="0" borderId="91" applyBorder="0" applyAlignment="0">
      <alignment horizontal="center" vertical="center"/>
    </xf>
    <xf numFmtId="173" fontId="50" fillId="0" borderId="91" applyBorder="0" applyAlignment="0">
      <alignment horizontal="center" vertical="center"/>
    </xf>
    <xf numFmtId="173" fontId="50" fillId="0" borderId="91" applyBorder="0" applyAlignment="0">
      <alignment horizontal="center" vertical="center"/>
    </xf>
    <xf numFmtId="0" fontId="12" fillId="46" borderId="0" applyNumberFormat="0" applyBorder="0" applyAlignment="0" applyProtection="0"/>
    <xf numFmtId="0" fontId="12" fillId="47" borderId="0" applyNumberFormat="0" applyBorder="0" applyAlignment="0" applyProtection="0"/>
    <xf numFmtId="0" fontId="12" fillId="48" borderId="0" applyNumberFormat="0" applyBorder="0" applyAlignment="0" applyProtection="0"/>
    <xf numFmtId="0" fontId="12" fillId="49" borderId="0" applyNumberFormat="0" applyBorder="0" applyAlignment="0" applyProtection="0"/>
    <xf numFmtId="0" fontId="12" fillId="50" borderId="0" applyNumberFormat="0" applyBorder="0" applyAlignment="0" applyProtection="0"/>
    <xf numFmtId="0" fontId="12" fillId="51" borderId="0" applyNumberFormat="0" applyBorder="0" applyAlignment="0" applyProtection="0"/>
    <xf numFmtId="0" fontId="12" fillId="52" borderId="0" applyNumberFormat="0" applyBorder="0" applyAlignment="0" applyProtection="0"/>
    <xf numFmtId="0" fontId="12" fillId="51" borderId="0" applyNumberFormat="0" applyBorder="0" applyAlignment="0" applyProtection="0"/>
    <xf numFmtId="0" fontId="12" fillId="53" borderId="0" applyNumberFormat="0" applyBorder="0" applyAlignment="0" applyProtection="0"/>
    <xf numFmtId="0" fontId="12" fillId="52" borderId="0" applyNumberFormat="0" applyBorder="0" applyAlignment="0" applyProtection="0"/>
    <xf numFmtId="0" fontId="12" fillId="50" borderId="0" applyNumberFormat="0" applyBorder="0" applyAlignment="0" applyProtection="0"/>
    <xf numFmtId="0" fontId="12" fillId="51" borderId="0" applyNumberFormat="0" applyBorder="0" applyAlignment="0" applyProtection="0"/>
    <xf numFmtId="0" fontId="12" fillId="54" borderId="0" applyNumberFormat="0" applyBorder="0" applyAlignment="0" applyProtection="0"/>
    <xf numFmtId="0" fontId="12" fillId="54" borderId="0" applyNumberFormat="0" applyBorder="0" applyAlignment="0" applyProtection="0"/>
    <xf numFmtId="0" fontId="12" fillId="54" borderId="0" applyNumberFormat="0" applyBorder="0" applyAlignment="0" applyProtection="0"/>
    <xf numFmtId="0" fontId="12" fillId="54" borderId="0" applyNumberFormat="0" applyBorder="0" applyAlignment="0" applyProtection="0"/>
    <xf numFmtId="0" fontId="12" fillId="54" borderId="0" applyNumberFormat="0" applyBorder="0" applyAlignment="0" applyProtection="0"/>
    <xf numFmtId="0" fontId="12" fillId="54" borderId="0" applyNumberFormat="0" applyBorder="0" applyAlignment="0" applyProtection="0"/>
    <xf numFmtId="0" fontId="12" fillId="54" borderId="0" applyNumberFormat="0" applyBorder="0" applyAlignment="0" applyProtection="0"/>
    <xf numFmtId="0" fontId="12" fillId="54" borderId="0" applyNumberFormat="0" applyBorder="0" applyAlignment="0" applyProtection="0"/>
    <xf numFmtId="0" fontId="12" fillId="54" borderId="0" applyNumberFormat="0" applyBorder="0" applyAlignment="0" applyProtection="0"/>
    <xf numFmtId="0" fontId="12" fillId="54" borderId="0" applyNumberFormat="0" applyBorder="0" applyAlignment="0" applyProtection="0"/>
    <xf numFmtId="0" fontId="12" fillId="54" borderId="0" applyNumberFormat="0" applyBorder="0" applyAlignment="0" applyProtection="0"/>
    <xf numFmtId="0" fontId="12" fillId="54" borderId="0" applyNumberFormat="0" applyBorder="0" applyAlignment="0" applyProtection="0"/>
    <xf numFmtId="0" fontId="12" fillId="54" borderId="0" applyNumberFormat="0" applyBorder="0" applyAlignment="0" applyProtection="0"/>
    <xf numFmtId="0" fontId="12" fillId="54" borderId="0" applyNumberFormat="0" applyBorder="0" applyAlignment="0" applyProtection="0"/>
    <xf numFmtId="0" fontId="12" fillId="54" borderId="0" applyNumberFormat="0" applyBorder="0" applyAlignment="0" applyProtection="0"/>
    <xf numFmtId="0" fontId="12" fillId="54" borderId="0" applyNumberFormat="0" applyBorder="0" applyAlignment="0" applyProtection="0"/>
    <xf numFmtId="0" fontId="1" fillId="46"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 fillId="47"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 fillId="48"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 fillId="4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 fillId="40" borderId="0" applyNumberFormat="0" applyBorder="0" applyAlignment="0" applyProtection="0"/>
    <xf numFmtId="0" fontId="12" fillId="56" borderId="0" applyNumberFormat="0" applyBorder="0" applyAlignment="0" applyProtection="0"/>
    <xf numFmtId="0" fontId="12" fillId="56" borderId="0" applyNumberFormat="0" applyBorder="0" applyAlignment="0" applyProtection="0"/>
    <xf numFmtId="0" fontId="12" fillId="56" borderId="0" applyNumberFormat="0" applyBorder="0" applyAlignment="0" applyProtection="0"/>
    <xf numFmtId="0" fontId="12" fillId="56" borderId="0" applyNumberFormat="0" applyBorder="0" applyAlignment="0" applyProtection="0"/>
    <xf numFmtId="0" fontId="12" fillId="56" borderId="0" applyNumberFormat="0" applyBorder="0" applyAlignment="0" applyProtection="0"/>
    <xf numFmtId="0" fontId="12" fillId="56" borderId="0" applyNumberFormat="0" applyBorder="0" applyAlignment="0" applyProtection="0"/>
    <xf numFmtId="0" fontId="12" fillId="56" borderId="0" applyNumberFormat="0" applyBorder="0" applyAlignment="0" applyProtection="0"/>
    <xf numFmtId="0" fontId="12" fillId="56" borderId="0" applyNumberFormat="0" applyBorder="0" applyAlignment="0" applyProtection="0"/>
    <xf numFmtId="0" fontId="12" fillId="56" borderId="0" applyNumberFormat="0" applyBorder="0" applyAlignment="0" applyProtection="0"/>
    <xf numFmtId="0" fontId="12" fillId="56" borderId="0" applyNumberFormat="0" applyBorder="0" applyAlignment="0" applyProtection="0"/>
    <xf numFmtId="0" fontId="12" fillId="56" borderId="0" applyNumberFormat="0" applyBorder="0" applyAlignment="0" applyProtection="0"/>
    <xf numFmtId="0" fontId="12" fillId="56" borderId="0" applyNumberFormat="0" applyBorder="0" applyAlignment="0" applyProtection="0"/>
    <xf numFmtId="0" fontId="12" fillId="56" borderId="0" applyNumberFormat="0" applyBorder="0" applyAlignment="0" applyProtection="0"/>
    <xf numFmtId="0" fontId="12" fillId="56" borderId="0" applyNumberFormat="0" applyBorder="0" applyAlignment="0" applyProtection="0"/>
    <xf numFmtId="0" fontId="12" fillId="56" borderId="0" applyNumberFormat="0" applyBorder="0" applyAlignment="0" applyProtection="0"/>
    <xf numFmtId="0" fontId="12" fillId="56" borderId="0" applyNumberFormat="0" applyBorder="0" applyAlignment="0" applyProtection="0"/>
    <xf numFmtId="0" fontId="1" fillId="44" borderId="0" applyNumberFormat="0" applyBorder="0" applyAlignment="0" applyProtection="0"/>
    <xf numFmtId="0" fontId="12" fillId="46" borderId="0" applyNumberFormat="0" applyBorder="0" applyAlignment="0" applyProtection="0"/>
    <xf numFmtId="0" fontId="12" fillId="47" borderId="0" applyNumberFormat="0" applyBorder="0" applyAlignment="0" applyProtection="0"/>
    <xf numFmtId="0" fontId="12" fillId="48" borderId="0" applyNumberFormat="0" applyBorder="0" applyAlignment="0" applyProtection="0"/>
    <xf numFmtId="0" fontId="12" fillId="49" borderId="0" applyNumberFormat="0" applyBorder="0" applyAlignment="0" applyProtection="0"/>
    <xf numFmtId="0" fontId="12" fillId="50" borderId="0" applyNumberFormat="0" applyBorder="0" applyAlignment="0" applyProtection="0"/>
    <xf numFmtId="0" fontId="12" fillId="51" borderId="0" applyNumberFormat="0" applyBorder="0" applyAlignment="0" applyProtection="0"/>
    <xf numFmtId="0" fontId="12" fillId="57" borderId="0" applyNumberFormat="0" applyBorder="0" applyAlignment="0" applyProtection="0"/>
    <xf numFmtId="0" fontId="12" fillId="58" borderId="0" applyNumberFormat="0" applyBorder="0" applyAlignment="0" applyProtection="0"/>
    <xf numFmtId="0" fontId="12" fillId="59" borderId="0" applyNumberFormat="0" applyBorder="0" applyAlignment="0" applyProtection="0"/>
    <xf numFmtId="0" fontId="12" fillId="49" borderId="0" applyNumberFormat="0" applyBorder="0" applyAlignment="0" applyProtection="0"/>
    <xf numFmtId="0" fontId="12" fillId="57" borderId="0" applyNumberFormat="0" applyBorder="0" applyAlignment="0" applyProtection="0"/>
    <xf numFmtId="0" fontId="12" fillId="60" borderId="0" applyNumberFormat="0" applyBorder="0" applyAlignment="0" applyProtection="0"/>
    <xf numFmtId="0" fontId="12" fillId="61" borderId="0" applyNumberFormat="0" applyBorder="0" applyAlignment="0" applyProtection="0"/>
    <xf numFmtId="0" fontId="12" fillId="58" borderId="0" applyNumberFormat="0" applyBorder="0" applyAlignment="0" applyProtection="0"/>
    <xf numFmtId="0" fontId="12" fillId="62" borderId="0" applyNumberFormat="0" applyBorder="0" applyAlignment="0" applyProtection="0"/>
    <xf numFmtId="0" fontId="12" fillId="61" borderId="0" applyNumberFormat="0" applyBorder="0" applyAlignment="0" applyProtection="0"/>
    <xf numFmtId="0" fontId="12" fillId="57" borderId="0" applyNumberFormat="0" applyBorder="0" applyAlignment="0" applyProtection="0"/>
    <xf numFmtId="0" fontId="12" fillId="51"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 fillId="3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 fillId="3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2" fillId="64" borderId="0" applyNumberFormat="0" applyBorder="0" applyAlignment="0" applyProtection="0"/>
    <xf numFmtId="0" fontId="1" fillId="59"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2" fillId="55" borderId="0" applyNumberFormat="0" applyBorder="0" applyAlignment="0" applyProtection="0"/>
    <xf numFmtId="0" fontId="1" fillId="38"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2" fillId="63" borderId="0" applyNumberFormat="0" applyBorder="0" applyAlignment="0" applyProtection="0"/>
    <xf numFmtId="0" fontId="1" fillId="41"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2" fillId="65" borderId="0" applyNumberFormat="0" applyBorder="0" applyAlignment="0" applyProtection="0"/>
    <xf numFmtId="0" fontId="1" fillId="45" borderId="0" applyNumberFormat="0" applyBorder="0" applyAlignment="0" applyProtection="0"/>
    <xf numFmtId="0" fontId="12" fillId="57" borderId="0" applyNumberFormat="0" applyBorder="0" applyAlignment="0" applyProtection="0"/>
    <xf numFmtId="0" fontId="12" fillId="58" borderId="0" applyNumberFormat="0" applyBorder="0" applyAlignment="0" applyProtection="0"/>
    <xf numFmtId="0" fontId="12" fillId="59" borderId="0" applyNumberFormat="0" applyBorder="0" applyAlignment="0" applyProtection="0"/>
    <xf numFmtId="0" fontId="12" fillId="49" borderId="0" applyNumberFormat="0" applyBorder="0" applyAlignment="0" applyProtection="0"/>
    <xf numFmtId="0" fontId="12" fillId="57" borderId="0" applyNumberFormat="0" applyBorder="0" applyAlignment="0" applyProtection="0"/>
    <xf numFmtId="0" fontId="12" fillId="60" borderId="0" applyNumberFormat="0" applyBorder="0" applyAlignment="0" applyProtection="0"/>
    <xf numFmtId="0" fontId="13" fillId="66" borderId="0" applyNumberFormat="0" applyBorder="0" applyAlignment="0" applyProtection="0"/>
    <xf numFmtId="0" fontId="13" fillId="58" borderId="0" applyNumberFormat="0" applyBorder="0" applyAlignment="0" applyProtection="0"/>
    <xf numFmtId="0" fontId="13" fillId="59" borderId="0" applyNumberFormat="0" applyBorder="0" applyAlignment="0" applyProtection="0"/>
    <xf numFmtId="0" fontId="13" fillId="67" borderId="0" applyNumberFormat="0" applyBorder="0" applyAlignment="0" applyProtection="0"/>
    <xf numFmtId="0" fontId="13" fillId="68" borderId="0" applyNumberFormat="0" applyBorder="0" applyAlignment="0" applyProtection="0"/>
    <xf numFmtId="0" fontId="13" fillId="69" borderId="0" applyNumberFormat="0" applyBorder="0" applyAlignment="0" applyProtection="0"/>
    <xf numFmtId="0" fontId="13" fillId="68" borderId="0" applyNumberFormat="0" applyBorder="0" applyAlignment="0" applyProtection="0"/>
    <xf numFmtId="0" fontId="13" fillId="58" borderId="0" applyNumberFormat="0" applyBorder="0" applyAlignment="0" applyProtection="0"/>
    <xf numFmtId="0" fontId="13" fillId="62" borderId="0" applyNumberFormat="0" applyBorder="0" applyAlignment="0" applyProtection="0"/>
    <xf numFmtId="0" fontId="13" fillId="61" borderId="0" applyNumberFormat="0" applyBorder="0" applyAlignment="0" applyProtection="0"/>
    <xf numFmtId="0" fontId="13" fillId="68" borderId="0" applyNumberFormat="0" applyBorder="0" applyAlignment="0" applyProtection="0"/>
    <xf numFmtId="0" fontId="13" fillId="51" borderId="0" applyNumberFormat="0" applyBorder="0" applyAlignment="0" applyProtection="0"/>
    <xf numFmtId="0" fontId="13" fillId="70" borderId="0" applyNumberFormat="0" applyBorder="0" applyAlignment="0" applyProtection="0"/>
    <xf numFmtId="0" fontId="42" fillId="32" borderId="0" applyNumberFormat="0" applyBorder="0" applyAlignment="0" applyProtection="0"/>
    <xf numFmtId="0" fontId="42" fillId="35" borderId="0" applyNumberFormat="0" applyBorder="0" applyAlignment="0" applyProtection="0"/>
    <xf numFmtId="0" fontId="13" fillId="64" borderId="0" applyNumberFormat="0" applyBorder="0" applyAlignment="0" applyProtection="0"/>
    <xf numFmtId="0" fontId="42" fillId="59" borderId="0" applyNumberFormat="0" applyBorder="0" applyAlignment="0" applyProtection="0"/>
    <xf numFmtId="0" fontId="13" fillId="71" borderId="0" applyNumberFormat="0" applyBorder="0" applyAlignment="0" applyProtection="0"/>
    <xf numFmtId="0" fontId="42" fillId="67" borderId="0" applyNumberFormat="0" applyBorder="0" applyAlignment="0" applyProtection="0"/>
    <xf numFmtId="0" fontId="42" fillId="42" borderId="0" applyNumberFormat="0" applyBorder="0" applyAlignment="0" applyProtection="0"/>
    <xf numFmtId="0" fontId="13" fillId="72" borderId="0" applyNumberFormat="0" applyBorder="0" applyAlignment="0" applyProtection="0"/>
    <xf numFmtId="0" fontId="42" fillId="69" borderId="0" applyNumberFormat="0" applyBorder="0" applyAlignment="0" applyProtection="0"/>
    <xf numFmtId="0" fontId="13" fillId="66" borderId="0" applyNumberFormat="0" applyBorder="0" applyAlignment="0" applyProtection="0"/>
    <xf numFmtId="0" fontId="13" fillId="58" borderId="0" applyNumberFormat="0" applyBorder="0" applyAlignment="0" applyProtection="0"/>
    <xf numFmtId="0" fontId="13" fillId="59" borderId="0" applyNumberFormat="0" applyBorder="0" applyAlignment="0" applyProtection="0"/>
    <xf numFmtId="0" fontId="13" fillId="67" borderId="0" applyNumberFormat="0" applyBorder="0" applyAlignment="0" applyProtection="0"/>
    <xf numFmtId="0" fontId="13" fillId="68" borderId="0" applyNumberFormat="0" applyBorder="0" applyAlignment="0" applyProtection="0"/>
    <xf numFmtId="0" fontId="13" fillId="69" borderId="0" applyNumberFormat="0" applyBorder="0" applyAlignment="0" applyProtection="0"/>
    <xf numFmtId="0" fontId="13" fillId="73" borderId="0" applyNumberFormat="0" applyBorder="0" applyAlignment="0" applyProtection="0"/>
    <xf numFmtId="0" fontId="13" fillId="74" borderId="0" applyNumberFormat="0" applyBorder="0" applyAlignment="0" applyProtection="0"/>
    <xf numFmtId="0" fontId="13" fillId="75" borderId="0" applyNumberFormat="0" applyBorder="0" applyAlignment="0" applyProtection="0"/>
    <xf numFmtId="0" fontId="13" fillId="67" borderId="0" applyNumberFormat="0" applyBorder="0" applyAlignment="0" applyProtection="0"/>
    <xf numFmtId="0" fontId="13" fillId="68" borderId="0" applyNumberFormat="0" applyBorder="0" applyAlignment="0" applyProtection="0"/>
    <xf numFmtId="0" fontId="13" fillId="76" borderId="0" applyNumberFormat="0" applyBorder="0" applyAlignment="0" applyProtection="0"/>
    <xf numFmtId="0" fontId="29" fillId="0" borderId="0"/>
    <xf numFmtId="0" fontId="19" fillId="47" borderId="0" applyNumberFormat="0" applyBorder="0" applyAlignment="0" applyProtection="0"/>
    <xf numFmtId="0" fontId="34" fillId="23" borderId="0" applyNumberFormat="0" applyBorder="0" applyAlignment="0" applyProtection="0"/>
    <xf numFmtId="0" fontId="14" fillId="48" borderId="0" applyNumberFormat="0" applyBorder="0" applyAlignment="0" applyProtection="0"/>
    <xf numFmtId="174" fontId="53" fillId="0" borderId="0">
      <protection locked="0"/>
    </xf>
    <xf numFmtId="174" fontId="53" fillId="0" borderId="0">
      <protection locked="0"/>
    </xf>
    <xf numFmtId="0" fontId="50" fillId="77" borderId="21" applyNumberFormat="0" applyFont="0" applyBorder="0" applyAlignment="0">
      <alignment horizontal="left" vertical="center"/>
    </xf>
    <xf numFmtId="0" fontId="25" fillId="0" borderId="60" applyNumberFormat="0" applyFill="0" applyAlignment="0" applyProtection="0"/>
    <xf numFmtId="0" fontId="26" fillId="0" borderId="61" applyNumberFormat="0" applyFill="0" applyAlignment="0" applyProtection="0"/>
    <xf numFmtId="0" fontId="27" fillId="0" borderId="62" applyNumberFormat="0" applyFill="0" applyAlignment="0" applyProtection="0"/>
    <xf numFmtId="0" fontId="27" fillId="0" borderId="62" applyNumberFormat="0" applyFill="0" applyAlignment="0" applyProtection="0"/>
    <xf numFmtId="0" fontId="27" fillId="0" borderId="0" applyNumberFormat="0" applyFill="0" applyBorder="0" applyAlignment="0" applyProtection="0"/>
    <xf numFmtId="0" fontId="15" fillId="61" borderId="78" applyNumberFormat="0" applyAlignment="0" applyProtection="0"/>
    <xf numFmtId="0" fontId="15" fillId="78" borderId="78" applyNumberFormat="0" applyAlignment="0" applyProtection="0"/>
    <xf numFmtId="0" fontId="15" fillId="78" borderId="78" applyNumberFormat="0" applyAlignment="0" applyProtection="0"/>
    <xf numFmtId="0" fontId="38" fillId="27" borderId="85" applyNumberFormat="0" applyAlignment="0" applyProtection="0"/>
    <xf numFmtId="0" fontId="4" fillId="0" borderId="0"/>
    <xf numFmtId="0" fontId="54" fillId="0" borderId="0"/>
    <xf numFmtId="0" fontId="16" fillId="79" borderId="56" applyNumberFormat="0" applyAlignment="0" applyProtection="0"/>
    <xf numFmtId="0" fontId="17" fillId="0" borderId="57" applyNumberFormat="0" applyFill="0" applyAlignment="0" applyProtection="0"/>
    <xf numFmtId="0" fontId="40" fillId="28" borderId="88" applyNumberFormat="0" applyAlignment="0" applyProtection="0"/>
    <xf numFmtId="0" fontId="17" fillId="0" borderId="57" applyNumberFormat="0" applyFill="0" applyAlignment="0" applyProtection="0"/>
    <xf numFmtId="0" fontId="39" fillId="0" borderId="87" applyNumberFormat="0" applyFill="0" applyAlignment="0" applyProtection="0"/>
    <xf numFmtId="0" fontId="16" fillId="79" borderId="56" applyNumberFormat="0" applyAlignment="0" applyProtection="0"/>
    <xf numFmtId="175" fontId="53" fillId="0" borderId="0">
      <protection locked="0"/>
    </xf>
    <xf numFmtId="41" fontId="4" fillId="0" borderId="0" applyFont="0" applyFill="0" applyBorder="0" applyAlignment="0" applyProtection="0"/>
    <xf numFmtId="41" fontId="4" fillId="0" borderId="0" applyFont="0" applyFill="0" applyBorder="0" applyAlignment="0" applyProtection="0"/>
    <xf numFmtId="40" fontId="55" fillId="0" borderId="0" applyFont="0" applyFill="0" applyBorder="0" applyAlignment="0" applyProtection="0"/>
    <xf numFmtId="176" fontId="53" fillId="0" borderId="0">
      <protection locked="0"/>
    </xf>
    <xf numFmtId="173" fontId="56" fillId="0" borderId="0" applyNumberFormat="0" applyFill="0" applyBorder="0">
      <alignment horizontal="left" vertical="center"/>
      <protection locked="0"/>
    </xf>
    <xf numFmtId="0" fontId="13" fillId="68" borderId="0" applyNumberFormat="0" applyBorder="0" applyAlignment="0" applyProtection="0"/>
    <xf numFmtId="0" fontId="13" fillId="74" borderId="0" applyNumberFormat="0" applyBorder="0" applyAlignment="0" applyProtection="0"/>
    <xf numFmtId="0" fontId="13" fillId="75" borderId="0" applyNumberFormat="0" applyBorder="0" applyAlignment="0" applyProtection="0"/>
    <xf numFmtId="0" fontId="13" fillId="80" borderId="0" applyNumberFormat="0" applyBorder="0" applyAlignment="0" applyProtection="0"/>
    <xf numFmtId="0" fontId="13" fillId="68" borderId="0" applyNumberFormat="0" applyBorder="0" applyAlignment="0" applyProtection="0"/>
    <xf numFmtId="0" fontId="13" fillId="76" borderId="0" applyNumberFormat="0" applyBorder="0" applyAlignment="0" applyProtection="0"/>
    <xf numFmtId="0" fontId="14" fillId="48" borderId="0" applyNumberFormat="0" applyBorder="0" applyAlignment="0" applyProtection="0"/>
    <xf numFmtId="49" fontId="48" fillId="81" borderId="92" applyNumberFormat="0" applyBorder="0" applyAlignment="0">
      <alignment horizontal="left" vertical="center"/>
    </xf>
    <xf numFmtId="177" fontId="53" fillId="0" borderId="0">
      <protection locked="0"/>
    </xf>
    <xf numFmtId="178" fontId="4" fillId="0" borderId="0">
      <alignment horizontal="center"/>
    </xf>
    <xf numFmtId="164" fontId="4" fillId="0" borderId="0" applyFont="0" applyFill="0" applyBorder="0" applyAlignment="0" applyProtection="0"/>
    <xf numFmtId="164" fontId="4" fillId="0" borderId="0" applyFont="0" applyFill="0" applyBorder="0" applyAlignment="0" applyProtection="0"/>
    <xf numFmtId="179" fontId="4" fillId="0" borderId="0" applyFont="0" applyFill="0" applyBorder="0" applyAlignment="0" applyProtection="0"/>
    <xf numFmtId="180" fontId="53" fillId="0" borderId="0">
      <protection locked="0"/>
    </xf>
    <xf numFmtId="0" fontId="57" fillId="0" borderId="0">
      <protection locked="0"/>
    </xf>
    <xf numFmtId="173" fontId="50" fillId="82" borderId="0" applyNumberFormat="0" applyBorder="0">
      <alignment horizontal="center" vertical="center"/>
    </xf>
    <xf numFmtId="173" fontId="50" fillId="82" borderId="0" applyNumberFormat="0" applyBorder="0">
      <alignment horizontal="center" vertical="center"/>
    </xf>
    <xf numFmtId="173" fontId="58" fillId="82" borderId="93" applyNumberFormat="0" applyFill="0" applyBorder="0" applyProtection="0">
      <alignment horizontal="left"/>
      <protection locked="0"/>
    </xf>
    <xf numFmtId="0" fontId="53" fillId="0" borderId="0">
      <protection locked="0"/>
    </xf>
    <xf numFmtId="0" fontId="59" fillId="0" borderId="0" applyNumberFormat="0" applyFill="0" applyBorder="0" applyAlignment="0" applyProtection="0"/>
    <xf numFmtId="0" fontId="13" fillId="83" borderId="0" applyNumberFormat="0" applyBorder="0" applyAlignment="0" applyProtection="0"/>
    <xf numFmtId="0" fontId="42" fillId="30" borderId="0" applyNumberFormat="0" applyBorder="0" applyAlignment="0" applyProtection="0"/>
    <xf numFmtId="0" fontId="42" fillId="33" borderId="0" applyNumberFormat="0" applyBorder="0" applyAlignment="0" applyProtection="0"/>
    <xf numFmtId="0" fontId="42" fillId="36" borderId="0" applyNumberFormat="0" applyBorder="0" applyAlignment="0" applyProtection="0"/>
    <xf numFmtId="0" fontId="13" fillId="71" borderId="0" applyNumberFormat="0" applyBorder="0" applyAlignment="0" applyProtection="0"/>
    <xf numFmtId="0" fontId="42" fillId="37" borderId="0" applyNumberFormat="0" applyBorder="0" applyAlignment="0" applyProtection="0"/>
    <xf numFmtId="0" fontId="42" fillId="39" borderId="0" applyNumberFormat="0" applyBorder="0" applyAlignment="0" applyProtection="0"/>
    <xf numFmtId="0" fontId="42" fillId="43" borderId="0" applyNumberFormat="0" applyBorder="0" applyAlignment="0" applyProtection="0"/>
    <xf numFmtId="0" fontId="13" fillId="73" borderId="0" applyNumberFormat="0" applyBorder="0" applyAlignment="0" applyProtection="0"/>
    <xf numFmtId="0" fontId="13" fillId="74" borderId="0" applyNumberFormat="0" applyBorder="0" applyAlignment="0" applyProtection="0"/>
    <xf numFmtId="0" fontId="13" fillId="75" borderId="0" applyNumberFormat="0" applyBorder="0" applyAlignment="0" applyProtection="0"/>
    <xf numFmtId="0" fontId="13" fillId="67" borderId="0" applyNumberFormat="0" applyBorder="0" applyAlignment="0" applyProtection="0"/>
    <xf numFmtId="0" fontId="13" fillId="68" borderId="0" applyNumberFormat="0" applyBorder="0" applyAlignment="0" applyProtection="0"/>
    <xf numFmtId="0" fontId="13" fillId="76" borderId="0" applyNumberFormat="0" applyBorder="0" applyAlignment="0" applyProtection="0"/>
    <xf numFmtId="0" fontId="18" fillId="56" borderId="78" applyNumberFormat="0" applyAlignment="0" applyProtection="0"/>
    <xf numFmtId="0" fontId="18" fillId="56" borderId="78" applyNumberFormat="0" applyAlignment="0" applyProtection="0"/>
    <xf numFmtId="0" fontId="36" fillId="26" borderId="85" applyNumberFormat="0" applyAlignment="0" applyProtection="0"/>
    <xf numFmtId="0" fontId="7" fillId="1" borderId="94" applyFont="0" applyFill="0" applyBorder="0" applyAlignment="0">
      <alignment horizontal="center"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70" fontId="4" fillId="0" borderId="0" applyFont="0" applyFill="0" applyBorder="0" applyAlignment="0" applyProtection="0"/>
    <xf numFmtId="170" fontId="4" fillId="0" borderId="0" applyFont="0" applyFill="0" applyBorder="0" applyAlignment="0" applyProtection="0"/>
    <xf numFmtId="181" fontId="60" fillId="0" borderId="0" applyFill="0" applyBorder="0" applyAlignment="0" applyProtection="0"/>
    <xf numFmtId="170" fontId="4" fillId="0" borderId="0" applyFont="0" applyFill="0" applyBorder="0" applyAlignment="0" applyProtection="0"/>
    <xf numFmtId="0" fontId="23" fillId="0" borderId="0" applyNumberFormat="0" applyFill="0" applyBorder="0" applyAlignment="0" applyProtection="0"/>
    <xf numFmtId="182" fontId="53" fillId="0" borderId="0">
      <protection locked="0"/>
    </xf>
    <xf numFmtId="183" fontId="57" fillId="0" borderId="0">
      <protection locked="0"/>
    </xf>
    <xf numFmtId="0" fontId="61" fillId="0" borderId="0" applyNumberFormat="0" applyFill="0" applyBorder="0" applyAlignment="0" applyProtection="0">
      <alignment vertical="top"/>
      <protection locked="0"/>
    </xf>
    <xf numFmtId="0" fontId="62" fillId="0" borderId="0" applyNumberFormat="0" applyFont="0" applyFill="0" applyAlignment="0">
      <alignment horizontal="left"/>
    </xf>
    <xf numFmtId="0" fontId="14" fillId="48" borderId="0" applyNumberFormat="0" applyBorder="0" applyAlignment="0" applyProtection="0"/>
    <xf numFmtId="184" fontId="14" fillId="48" borderId="0" applyNumberFormat="0" applyBorder="0" applyAlignment="0" applyProtection="0"/>
    <xf numFmtId="38" fontId="47" fillId="84" borderId="0" applyNumberFormat="0" applyBorder="0" applyAlignment="0" applyProtection="0"/>
    <xf numFmtId="0" fontId="63" fillId="0" borderId="0">
      <alignment horizontal="left"/>
    </xf>
    <xf numFmtId="0" fontId="57" fillId="0" borderId="0">
      <protection locked="0"/>
    </xf>
    <xf numFmtId="0" fontId="57" fillId="0" borderId="0">
      <protection locked="0"/>
    </xf>
    <xf numFmtId="0" fontId="59" fillId="0" borderId="95" applyNumberFormat="0" applyFill="0" applyAlignment="0" applyProtection="0"/>
    <xf numFmtId="0" fontId="59" fillId="0" borderId="0" applyNumberFormat="0" applyFill="0" applyBorder="0" applyAlignment="0" applyProtection="0"/>
    <xf numFmtId="0" fontId="19" fillId="47" borderId="0" applyNumberFormat="0" applyBorder="0" applyAlignment="0" applyProtection="0"/>
    <xf numFmtId="0" fontId="35" fillId="24" borderId="0" applyNumberFormat="0" applyBorder="0" applyAlignment="0" applyProtection="0"/>
    <xf numFmtId="0" fontId="64" fillId="0" borderId="0"/>
    <xf numFmtId="0" fontId="18" fillId="51" borderId="78" applyNumberFormat="0" applyAlignment="0" applyProtection="0"/>
    <xf numFmtId="10" fontId="47" fillId="84" borderId="72" applyNumberFormat="0" applyBorder="0" applyAlignment="0" applyProtection="0"/>
    <xf numFmtId="0" fontId="47" fillId="84" borderId="0"/>
    <xf numFmtId="0" fontId="17" fillId="0" borderId="57" applyNumberFormat="0" applyFill="0" applyAlignment="0" applyProtection="0"/>
    <xf numFmtId="0" fontId="4" fillId="0" borderId="0">
      <alignment horizontal="centerContinuous" vertical="justify"/>
    </xf>
    <xf numFmtId="0" fontId="65" fillId="0" borderId="31"/>
    <xf numFmtId="165" fontId="12" fillId="0" borderId="0" applyFont="0" applyFill="0" applyBorder="0" applyAlignment="0" applyProtection="0"/>
    <xf numFmtId="165" fontId="75" fillId="0" borderId="0" applyFont="0" applyFill="0" applyBorder="0" applyAlignment="0" applyProtection="0"/>
    <xf numFmtId="165" fontId="12"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5" fontId="4" fillId="0" borderId="0" applyFont="0" applyFill="0" applyBorder="0" applyAlignment="0" applyProtection="0"/>
    <xf numFmtId="168"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85" fontId="60" fillId="0" borderId="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85" fontId="60" fillId="0" borderId="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185" fontId="4" fillId="0" borderId="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85" fontId="60" fillId="0" borderId="0" applyFill="0" applyBorder="0" applyAlignment="0" applyProtection="0"/>
    <xf numFmtId="168" fontId="4" fillId="0" borderId="0" applyFont="0" applyFill="0" applyBorder="0" applyAlignment="0" applyProtection="0"/>
    <xf numFmtId="171" fontId="4" fillId="0" borderId="0" applyFont="0" applyFill="0" applyBorder="0" applyAlignment="0" applyProtection="0"/>
    <xf numFmtId="185" fontId="60" fillId="0" borderId="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85" fontId="4" fillId="0" borderId="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71" fontId="4" fillId="0" borderId="0" applyFont="0" applyFill="0" applyBorder="0" applyAlignment="0" applyProtection="0"/>
    <xf numFmtId="168" fontId="12" fillId="0" borderId="0" applyFont="0" applyFill="0" applyBorder="0" applyAlignment="0" applyProtection="0"/>
    <xf numFmtId="186" fontId="4" fillId="0" borderId="0" applyFont="0" applyFill="0" applyBorder="0" applyAlignment="0" applyProtection="0"/>
    <xf numFmtId="187" fontId="4" fillId="0" borderId="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80" fontId="57" fillId="0" borderId="0">
      <protection locked="0"/>
    </xf>
    <xf numFmtId="188" fontId="4" fillId="0" borderId="0" applyFont="0" applyFill="0" applyBorder="0" applyAlignment="0" applyProtection="0"/>
    <xf numFmtId="0" fontId="76" fillId="25" borderId="0" applyNumberFormat="0" applyBorder="0" applyAlignment="0" applyProtection="0"/>
    <xf numFmtId="0" fontId="20" fillId="62" borderId="0" applyNumberFormat="0" applyBorder="0" applyAlignment="0" applyProtection="0"/>
    <xf numFmtId="172" fontId="4" fillId="0" borderId="0"/>
    <xf numFmtId="0" fontId="4" fillId="0" borderId="0"/>
    <xf numFmtId="0" fontId="4" fillId="0" borderId="0"/>
    <xf numFmtId="0" fontId="1" fillId="0" borderId="0"/>
    <xf numFmtId="0" fontId="66" fillId="0" borderId="0"/>
    <xf numFmtId="0" fontId="4" fillId="0" borderId="0"/>
    <xf numFmtId="0" fontId="66" fillId="0" borderId="0"/>
    <xf numFmtId="0" fontId="4" fillId="0" borderId="0"/>
    <xf numFmtId="0" fontId="1" fillId="0" borderId="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4" fillId="0" borderId="0"/>
    <xf numFmtId="0" fontId="4" fillId="0" borderId="0"/>
    <xf numFmtId="0" fontId="66"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7" fillId="0" borderId="0"/>
    <xf numFmtId="0" fontId="64" fillId="0" borderId="0"/>
    <xf numFmtId="0" fontId="4" fillId="0" borderId="0"/>
    <xf numFmtId="0" fontId="4" fillId="0" borderId="0" applyProtection="0"/>
    <xf numFmtId="0" fontId="4" fillId="0" borderId="0"/>
    <xf numFmtId="0" fontId="7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4" fillId="0" borderId="0"/>
    <xf numFmtId="0" fontId="4" fillId="0" borderId="0"/>
    <xf numFmtId="0" fontId="12" fillId="0" borderId="0"/>
    <xf numFmtId="0" fontId="4"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4" fillId="0" borderId="0"/>
    <xf numFmtId="0" fontId="4" fillId="0" borderId="0"/>
    <xf numFmtId="0" fontId="6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1" fillId="0" borderId="0"/>
    <xf numFmtId="0" fontId="1" fillId="0" borderId="0"/>
    <xf numFmtId="0" fontId="1" fillId="0" borderId="0"/>
    <xf numFmtId="0" fontId="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9" fillId="0" borderId="0"/>
    <xf numFmtId="0" fontId="4" fillId="0" borderId="0"/>
    <xf numFmtId="0" fontId="77" fillId="0" borderId="0"/>
    <xf numFmtId="0" fontId="1" fillId="0" borderId="0"/>
    <xf numFmtId="0" fontId="4" fillId="0" borderId="0"/>
    <xf numFmtId="0" fontId="4" fillId="0" borderId="0"/>
    <xf numFmtId="0" fontId="4" fillId="0" borderId="0"/>
    <xf numFmtId="0" fontId="6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7" fillId="0" borderId="0"/>
    <xf numFmtId="0" fontId="47" fillId="0" borderId="0"/>
    <xf numFmtId="0" fontId="4" fillId="0" borderId="0"/>
    <xf numFmtId="0" fontId="4" fillId="0" borderId="0"/>
    <xf numFmtId="0" fontId="4" fillId="0" borderId="0"/>
    <xf numFmtId="0" fontId="4" fillId="0" borderId="0"/>
    <xf numFmtId="0" fontId="6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9" fillId="0" borderId="0" applyNumberFormat="0" applyFill="0" applyBorder="0" applyAlignment="0" applyProtection="0"/>
    <xf numFmtId="0" fontId="49"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4"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4" fillId="0" borderId="0"/>
    <xf numFmtId="0" fontId="66"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4" fillId="0" borderId="0"/>
    <xf numFmtId="0" fontId="67" fillId="0" borderId="0"/>
    <xf numFmtId="0" fontId="67" fillId="0" borderId="0"/>
    <xf numFmtId="0" fontId="67" fillId="0" borderId="0"/>
    <xf numFmtId="0" fontId="67" fillId="0" borderId="0"/>
    <xf numFmtId="0" fontId="6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6" fillId="0" borderId="0"/>
    <xf numFmtId="0" fontId="4" fillId="0" borderId="0"/>
    <xf numFmtId="0" fontId="4" fillId="0" borderId="0"/>
    <xf numFmtId="0" fontId="4" fillId="0" borderId="0" applyProtection="0"/>
    <xf numFmtId="0" fontId="4" fillId="0" borderId="0"/>
    <xf numFmtId="0" fontId="4" fillId="0" borderId="0"/>
    <xf numFmtId="0" fontId="4" fillId="0" borderId="0"/>
    <xf numFmtId="0" fontId="1" fillId="0" borderId="0"/>
    <xf numFmtId="0" fontId="4" fillId="0" borderId="0"/>
    <xf numFmtId="0" fontId="4" fillId="9" borderId="79" applyNumberFormat="0" applyAlignment="0" applyProtection="0"/>
    <xf numFmtId="0" fontId="4" fillId="9" borderId="79" applyNumberFormat="0" applyAlignment="0" applyProtection="0"/>
    <xf numFmtId="0" fontId="12" fillId="29" borderId="89" applyNumberFormat="0" applyFont="0" applyAlignment="0" applyProtection="0"/>
    <xf numFmtId="0" fontId="12" fillId="29" borderId="89" applyNumberFormat="0" applyFont="0" applyAlignment="0" applyProtection="0"/>
    <xf numFmtId="0" fontId="12" fillId="29" borderId="89" applyNumberFormat="0" applyFont="0" applyAlignment="0" applyProtection="0"/>
    <xf numFmtId="0" fontId="12" fillId="29" borderId="89" applyNumberFormat="0" applyFont="0" applyAlignment="0" applyProtection="0"/>
    <xf numFmtId="0" fontId="47" fillId="53" borderId="79" applyNumberFormat="0" applyFont="0" applyAlignment="0" applyProtection="0"/>
    <xf numFmtId="0" fontId="4" fillId="53" borderId="79" applyNumberFormat="0" applyFont="0" applyAlignment="0" applyProtection="0"/>
    <xf numFmtId="0" fontId="47" fillId="84" borderId="0" applyFont="0"/>
    <xf numFmtId="0" fontId="21" fillId="61" borderId="80" applyNumberFormat="0" applyAlignment="0" applyProtection="0"/>
    <xf numFmtId="189" fontId="53" fillId="0" borderId="0">
      <protection locked="0"/>
    </xf>
    <xf numFmtId="10" fontId="4" fillId="0" borderId="0" applyFont="0" applyFill="0" applyBorder="0" applyAlignment="0" applyProtection="0"/>
    <xf numFmtId="9" fontId="4" fillId="0" borderId="0" applyFont="0" applyFill="0" applyBorder="0" applyAlignment="0" applyProtection="0"/>
    <xf numFmtId="190" fontId="57" fillId="0" borderId="0">
      <protection locked="0"/>
    </xf>
    <xf numFmtId="0" fontId="4" fillId="0" borderId="96" applyNumberFormat="0" applyFont="0" applyAlignment="0"/>
    <xf numFmtId="0" fontId="4" fillId="0" borderId="96" applyNumberFormat="0" applyFont="0" applyAlignment="0"/>
    <xf numFmtId="0" fontId="4" fillId="0" borderId="96" applyNumberFormat="0" applyFont="0" applyAlignment="0"/>
    <xf numFmtId="0" fontId="4" fillId="0" borderId="96" applyNumberFormat="0" applyFont="0" applyAlignment="0"/>
    <xf numFmtId="0" fontId="4" fillId="0" borderId="96" applyNumberFormat="0" applyFont="0" applyAlignment="0"/>
    <xf numFmtId="0" fontId="4" fillId="0" borderId="96" applyNumberFormat="0" applyFont="0" applyAlignment="0"/>
    <xf numFmtId="0" fontId="4" fillId="0" borderId="96" applyNumberFormat="0" applyFont="0" applyAlignment="0"/>
    <xf numFmtId="0" fontId="4" fillId="0" borderId="96" applyNumberFormat="0" applyFont="0" applyAlignment="0"/>
    <xf numFmtId="0" fontId="4" fillId="0" borderId="96" applyNumberFormat="0" applyFont="0" applyAlignment="0"/>
    <xf numFmtId="0" fontId="4" fillId="0" borderId="96" applyNumberFormat="0" applyFont="0" applyAlignment="0"/>
    <xf numFmtId="0" fontId="4" fillId="0" borderId="96" applyNumberFormat="0" applyFont="0" applyAlignment="0"/>
    <xf numFmtId="0" fontId="4" fillId="0" borderId="96" applyNumberFormat="0" applyFont="0" applyAlignment="0"/>
    <xf numFmtId="0" fontId="4" fillId="0" borderId="96" applyNumberFormat="0" applyFont="0" applyAlignment="0"/>
    <xf numFmtId="0" fontId="4" fillId="0" borderId="96" applyNumberFormat="0" applyFont="0" applyAlignment="0"/>
    <xf numFmtId="0" fontId="4" fillId="0" borderId="0" applyNumberFormat="0" applyBorder="0" applyAlignment="0"/>
    <xf numFmtId="0" fontId="4" fillId="0" borderId="96" applyNumberFormat="0" applyFont="0" applyAlignment="0"/>
    <xf numFmtId="0" fontId="4" fillId="0" borderId="96" applyNumberFormat="0" applyFont="0" applyAlignment="0"/>
    <xf numFmtId="0" fontId="4" fillId="0" borderId="96" applyNumberFormat="0" applyFont="0" applyAlignment="0"/>
    <xf numFmtId="0" fontId="4" fillId="0" borderId="96" applyNumberFormat="0" applyFont="0" applyAlignment="0"/>
    <xf numFmtId="0" fontId="4" fillId="0" borderId="96" applyNumberFormat="0" applyFont="0" applyAlignment="0"/>
    <xf numFmtId="0" fontId="4" fillId="0" borderId="96" applyNumberFormat="0" applyFont="0" applyAlignment="0"/>
    <xf numFmtId="0" fontId="4" fillId="0" borderId="96" applyNumberFormat="0" applyFont="0" applyAlignment="0"/>
    <xf numFmtId="0" fontId="4" fillId="0" borderId="96" applyNumberFormat="0" applyFont="0" applyAlignment="0"/>
    <xf numFmtId="4" fontId="57" fillId="0" borderId="0">
      <protection locked="0"/>
    </xf>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 fillId="0" borderId="0" applyFont="0" applyFill="0" applyBorder="0" applyAlignment="0" applyProtection="0"/>
    <xf numFmtId="9" fontId="60" fillId="0" borderId="0" applyFill="0" applyBorder="0" applyAlignment="0" applyProtection="0"/>
    <xf numFmtId="9" fontId="4" fillId="0" borderId="0" applyFill="0" applyBorder="0" applyAlignment="0" applyProtection="0"/>
    <xf numFmtId="9" fontId="60" fillId="0" borderId="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60" fillId="0" borderId="0" applyFill="0" applyBorder="0" applyAlignment="0" applyProtection="0"/>
    <xf numFmtId="9" fontId="47" fillId="0" borderId="0" applyFont="0" applyFill="0" applyBorder="0" applyAlignment="0" applyProtection="0"/>
    <xf numFmtId="9" fontId="4" fillId="0" borderId="0" applyFont="0" applyFill="0" applyBorder="0" applyAlignment="0" applyProtection="0"/>
    <xf numFmtId="9" fontId="60" fillId="0" borderId="0" applyFill="0" applyBorder="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60" fillId="0" borderId="0" applyFill="0" applyBorder="0" applyAlignment="0" applyProtection="0"/>
    <xf numFmtId="9" fontId="47"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ill="0" applyAlignment="0" applyProtection="0"/>
    <xf numFmtId="9" fontId="47"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47"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9" fillId="0" borderId="0" applyFont="0" applyFill="0" applyBorder="0" applyAlignment="0" applyProtection="0"/>
    <xf numFmtId="0" fontId="21" fillId="78" borderId="80" applyNumberFormat="0" applyAlignment="0" applyProtection="0"/>
    <xf numFmtId="0" fontId="21" fillId="78" borderId="80" applyNumberFormat="0" applyAlignment="0" applyProtection="0"/>
    <xf numFmtId="0" fontId="37" fillId="27" borderId="86" applyNumberFormat="0" applyAlignment="0" applyProtection="0"/>
    <xf numFmtId="0" fontId="21" fillId="61" borderId="80" applyNumberFormat="0" applyAlignment="0" applyProtection="0"/>
    <xf numFmtId="191" fontId="68" fillId="0" borderId="0">
      <protection locked="0"/>
    </xf>
    <xf numFmtId="43" fontId="66" fillId="0" borderId="0" applyFont="0" applyFill="0" applyBorder="0" applyAlignment="0" applyProtection="0"/>
    <xf numFmtId="43" fontId="6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4" fillId="0" borderId="0" applyFont="0" applyFill="0" applyBorder="0" applyAlignment="0" applyProtection="0"/>
    <xf numFmtId="172" fontId="6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9" fontId="60" fillId="0" borderId="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9" fontId="60" fillId="0" borderId="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169"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9" fontId="66"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87" fontId="4" fillId="0" borderId="0" applyFill="0" applyAlignment="0" applyProtection="0"/>
    <xf numFmtId="169" fontId="60" fillId="0" borderId="0" applyFill="0" applyBorder="0" applyAlignment="0" applyProtection="0"/>
    <xf numFmtId="165" fontId="4" fillId="0" borderId="0" applyFill="0" applyBorder="0" applyAlignment="0" applyProtection="0"/>
    <xf numFmtId="165" fontId="4" fillId="0" borderId="0" applyFill="0" applyBorder="0" applyAlignment="0" applyProtection="0"/>
    <xf numFmtId="165" fontId="4" fillId="0" borderId="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87" fontId="4" fillId="0" borderId="0" applyFill="0" applyAlignment="0" applyProtection="0"/>
    <xf numFmtId="187" fontId="4" fillId="0" borderId="0" applyFill="0" applyAlignment="0" applyProtection="0"/>
    <xf numFmtId="187" fontId="4" fillId="0" borderId="0" applyFill="0" applyAlignment="0" applyProtection="0"/>
    <xf numFmtId="187" fontId="4" fillId="0" borderId="0" applyFill="0" applyAlignment="0" applyProtection="0"/>
    <xf numFmtId="187" fontId="4" fillId="0" borderId="0" applyFill="0" applyAlignment="0" applyProtection="0"/>
    <xf numFmtId="187" fontId="4" fillId="0" borderId="0" applyFill="0" applyAlignment="0" applyProtection="0"/>
    <xf numFmtId="187" fontId="4" fillId="0" borderId="0" applyFill="0" applyAlignment="0" applyProtection="0"/>
    <xf numFmtId="187" fontId="4" fillId="0" borderId="0" applyFill="0" applyAlignment="0" applyProtection="0"/>
    <xf numFmtId="169" fontId="66" fillId="0" borderId="0" applyFill="0" applyBorder="0" applyAlignment="0" applyProtection="0"/>
    <xf numFmtId="165" fontId="4" fillId="0" borderId="0" applyFill="0" applyBorder="0" applyAlignment="0" applyProtection="0"/>
    <xf numFmtId="165" fontId="4" fillId="0" borderId="0" applyFill="0" applyBorder="0" applyAlignment="0" applyProtection="0"/>
    <xf numFmtId="165"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0" fontId="66" fillId="0" borderId="0" applyFill="0" applyBorder="0" applyAlignment="0" applyProtection="0"/>
    <xf numFmtId="43" fontId="4" fillId="0" borderId="0" applyFont="0" applyFill="0" applyBorder="0" applyAlignment="0" applyProtection="0"/>
    <xf numFmtId="169" fontId="66"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92" fontId="4"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0" fontId="65" fillId="0" borderId="0"/>
    <xf numFmtId="0" fontId="69" fillId="77" borderId="24" applyNumberFormat="0" applyBorder="0" applyAlignment="0">
      <alignment horizontal="left" vertical="center" indent="1"/>
    </xf>
    <xf numFmtId="0" fontId="70" fillId="0" borderId="24" applyNumberFormat="0" applyBorder="0" applyAlignment="0">
      <alignment horizontal="center" vertical="center"/>
    </xf>
    <xf numFmtId="0" fontId="74" fillId="0" borderId="0"/>
    <xf numFmtId="0" fontId="22" fillId="0" borderId="0" applyNumberFormat="0" applyFill="0" applyBorder="0" applyAlignment="0" applyProtection="0"/>
    <xf numFmtId="0" fontId="11" fillId="0" borderId="0" applyNumberFormat="0" applyFill="0" applyBorder="0" applyAlignment="0" applyProtection="0"/>
    <xf numFmtId="0" fontId="41" fillId="0" borderId="0" applyNumberFormat="0" applyFill="0" applyBorder="0" applyAlignment="0" applyProtection="0"/>
    <xf numFmtId="0" fontId="45" fillId="0" borderId="0" applyNumberFormat="0" applyFill="0" applyBorder="0" applyAlignment="0" applyProtection="0"/>
    <xf numFmtId="0" fontId="43" fillId="0" borderId="0"/>
    <xf numFmtId="0" fontId="25" fillId="0" borderId="98" applyNumberFormat="0" applyFill="0" applyAlignment="0" applyProtection="0"/>
    <xf numFmtId="0" fontId="71" fillId="0" borderId="97" applyNumberFormat="0" applyFill="0" applyAlignment="0" applyProtection="0"/>
    <xf numFmtId="0" fontId="25" fillId="0" borderId="60" applyNumberFormat="0" applyFill="0" applyAlignment="0" applyProtection="0"/>
    <xf numFmtId="0" fontId="71" fillId="0" borderId="97" applyNumberFormat="0" applyFill="0" applyAlignment="0" applyProtection="0"/>
    <xf numFmtId="0" fontId="71" fillId="0" borderId="97" applyNumberFormat="0" applyFill="0" applyAlignment="0" applyProtection="0"/>
    <xf numFmtId="0" fontId="71" fillId="0" borderId="97" applyNumberFormat="0" applyFill="0" applyAlignment="0" applyProtection="0"/>
    <xf numFmtId="0" fontId="71" fillId="0" borderId="97" applyNumberFormat="0" applyFill="0" applyAlignment="0" applyProtection="0"/>
    <xf numFmtId="0" fontId="71" fillId="0" borderId="97" applyNumberFormat="0" applyFill="0" applyAlignment="0" applyProtection="0"/>
    <xf numFmtId="0" fontId="71" fillId="0" borderId="97" applyNumberFormat="0" applyFill="0" applyAlignment="0" applyProtection="0"/>
    <xf numFmtId="0" fontId="71" fillId="0" borderId="97" applyNumberFormat="0" applyFill="0" applyAlignment="0" applyProtection="0"/>
    <xf numFmtId="0" fontId="71" fillId="0" borderId="97" applyNumberFormat="0" applyFill="0" applyAlignment="0" applyProtection="0"/>
    <xf numFmtId="0" fontId="71" fillId="0" borderId="97" applyNumberFormat="0" applyFill="0" applyAlignment="0" applyProtection="0"/>
    <xf numFmtId="0" fontId="45" fillId="0" borderId="0" applyNumberFormat="0" applyFill="0" applyBorder="0" applyAlignment="0" applyProtection="0"/>
    <xf numFmtId="0" fontId="31" fillId="0" borderId="82" applyNumberFormat="0" applyFill="0" applyAlignment="0" applyProtection="0"/>
    <xf numFmtId="0" fontId="72" fillId="0" borderId="61" applyNumberFormat="0" applyFill="0" applyAlignment="0" applyProtection="0"/>
    <xf numFmtId="0" fontId="32" fillId="0" borderId="83" applyNumberFormat="0" applyFill="0" applyAlignment="0" applyProtection="0"/>
    <xf numFmtId="0" fontId="59" fillId="0" borderId="95" applyNumberFormat="0" applyFill="0" applyAlignment="0" applyProtection="0"/>
    <xf numFmtId="0" fontId="59" fillId="0" borderId="95" applyNumberFormat="0" applyFill="0" applyAlignment="0" applyProtection="0"/>
    <xf numFmtId="0" fontId="33" fillId="0" borderId="84" applyNumberFormat="0" applyFill="0" applyAlignment="0" applyProtection="0"/>
    <xf numFmtId="0" fontId="59" fillId="0" borderId="0" applyNumberFormat="0" applyFill="0" applyBorder="0" applyAlignment="0" applyProtection="0"/>
    <xf numFmtId="0" fontId="33" fillId="0" borderId="0" applyNumberFormat="0" applyFill="0" applyBorder="0" applyAlignment="0" applyProtection="0"/>
    <xf numFmtId="0" fontId="24" fillId="0" borderId="0" applyNumberFormat="0" applyFill="0" applyBorder="0" applyAlignment="0" applyProtection="0"/>
    <xf numFmtId="193" fontId="53" fillId="0" borderId="0">
      <protection locked="0"/>
    </xf>
    <xf numFmtId="193" fontId="53" fillId="0" borderId="0">
      <protection locked="0"/>
    </xf>
    <xf numFmtId="0" fontId="51" fillId="0" borderId="92" applyBorder="0" applyAlignment="0">
      <alignment horizontal="center" vertical="center"/>
    </xf>
    <xf numFmtId="0" fontId="28" fillId="0" borderId="99" applyNumberFormat="0" applyFill="0" applyAlignment="0" applyProtection="0"/>
    <xf numFmtId="0" fontId="28" fillId="0" borderId="99" applyNumberFormat="0" applyFill="0" applyAlignment="0" applyProtection="0"/>
    <xf numFmtId="0" fontId="2" fillId="0" borderId="90" applyNumberFormat="0" applyFill="0" applyAlignment="0" applyProtection="0"/>
    <xf numFmtId="175" fontId="57" fillId="0" borderId="0">
      <protection locked="0"/>
    </xf>
    <xf numFmtId="176" fontId="57" fillId="0" borderId="0">
      <protection locked="0"/>
    </xf>
    <xf numFmtId="0" fontId="16" fillId="79" borderId="56" applyNumberFormat="0" applyAlignment="0" applyProtection="0"/>
    <xf numFmtId="43" fontId="44"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73" fillId="0" borderId="0" applyFont="0" applyFill="0" applyBorder="0" applyAlignment="0" applyProtection="0"/>
    <xf numFmtId="43" fontId="73" fillId="0" borderId="0" applyFont="0" applyFill="0" applyBorder="0" applyAlignment="0" applyProtection="0"/>
    <xf numFmtId="43" fontId="4" fillId="0" borderId="0" quotePrefix="1" applyFont="0" applyFill="0" applyBorder="0" applyAlignment="0">
      <protection locked="0"/>
    </xf>
    <xf numFmtId="43" fontId="4" fillId="0" borderId="0" quotePrefix="1" applyFont="0" applyFill="0" applyBorder="0" applyAlignment="0">
      <protection locked="0"/>
    </xf>
    <xf numFmtId="43" fontId="44" fillId="0" borderId="0" applyFont="0" applyFill="0" applyBorder="0" applyAlignment="0" applyProtection="0"/>
    <xf numFmtId="43" fontId="4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94" fontId="78" fillId="0" borderId="0" applyBorder="0" applyProtection="0"/>
    <xf numFmtId="43" fontId="47" fillId="0" borderId="0" applyFont="0" applyFill="0" applyBorder="0" applyAlignment="0" applyProtection="0"/>
    <xf numFmtId="43" fontId="47"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66" fillId="0" borderId="0" applyFont="0" applyFill="0" applyBorder="0" applyAlignment="0" applyProtection="0"/>
    <xf numFmtId="43" fontId="66" fillId="0" borderId="0" applyFont="0" applyFill="0" applyBorder="0" applyAlignment="0" applyProtection="0"/>
    <xf numFmtId="43" fontId="4" fillId="0" borderId="0" applyFont="0" applyFill="0" applyBorder="0" applyAlignment="0" applyProtection="0"/>
    <xf numFmtId="43" fontId="66" fillId="0" borderId="0" applyFont="0" applyFill="0" applyBorder="0" applyAlignment="0" applyProtection="0"/>
    <xf numFmtId="43" fontId="66"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66" fillId="0" borderId="0" applyFont="0" applyFill="0" applyBorder="0" applyAlignment="0" applyProtection="0"/>
    <xf numFmtId="43" fontId="66" fillId="0" borderId="0" applyFont="0" applyFill="0" applyBorder="0" applyAlignment="0" applyProtection="0"/>
    <xf numFmtId="3" fontId="4" fillId="0" borderId="0" applyFill="0" applyBorder="0" applyAlignment="0" applyProtection="0"/>
    <xf numFmtId="3" fontId="4" fillId="0" borderId="0" applyFont="0" applyFill="0" applyBorder="0" applyAlignment="0" applyProtection="0"/>
    <xf numFmtId="3" fontId="4" fillId="0" borderId="0" applyFont="0" applyFill="0" applyBorder="0" applyAlignment="0" applyProtection="0"/>
    <xf numFmtId="0" fontId="22" fillId="0" borderId="0" applyNumberFormat="0" applyFill="0" applyBorder="0" applyAlignment="0" applyProtection="0"/>
    <xf numFmtId="0" fontId="80" fillId="0" borderId="0"/>
    <xf numFmtId="195" fontId="4" fillId="0" borderId="0" applyFont="0" applyFill="0" applyBorder="0" applyAlignment="0" applyProtection="0"/>
    <xf numFmtId="0" fontId="29" fillId="0" borderId="0"/>
    <xf numFmtId="0" fontId="29" fillId="0" borderId="0" applyNumberFormat="0" applyBorder="0" applyAlignment="0"/>
    <xf numFmtId="40" fontId="29" fillId="0" borderId="0" applyFont="0" applyFill="0" applyBorder="0" applyAlignment="0" applyProtection="0"/>
    <xf numFmtId="44" fontId="80" fillId="0" borderId="0" applyFont="0" applyFill="0" applyBorder="0" applyAlignment="0" applyProtection="0"/>
    <xf numFmtId="0" fontId="81" fillId="0" borderId="0" applyNumberForma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9" fontId="80" fillId="0" borderId="0" applyFont="0" applyFill="0" applyBorder="0" applyAlignment="0" applyProtection="0"/>
    <xf numFmtId="0" fontId="77" fillId="0" borderId="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0" fontId="105" fillId="0" borderId="0"/>
    <xf numFmtId="0" fontId="105" fillId="0" borderId="0"/>
    <xf numFmtId="0" fontId="105" fillId="0" borderId="0"/>
  </cellStyleXfs>
  <cellXfs count="1055">
    <xf numFmtId="0" fontId="0" fillId="0" borderId="0" xfId="0"/>
    <xf numFmtId="0" fontId="0" fillId="0" borderId="0" xfId="0" applyBorder="1"/>
    <xf numFmtId="0" fontId="0" fillId="0" borderId="33" xfId="0" applyBorder="1"/>
    <xf numFmtId="0" fontId="0" fillId="0" borderId="34" xfId="0" applyBorder="1"/>
    <xf numFmtId="0" fontId="8" fillId="0" borderId="2" xfId="0" applyFont="1" applyBorder="1" applyAlignment="1">
      <alignment horizontal="center"/>
    </xf>
    <xf numFmtId="0" fontId="0" fillId="0" borderId="1" xfId="0" applyBorder="1" applyAlignment="1">
      <alignment horizontal="center"/>
    </xf>
    <xf numFmtId="0" fontId="0" fillId="0" borderId="2" xfId="0" applyBorder="1" applyAlignment="1">
      <alignment vertical="center" wrapText="1"/>
    </xf>
    <xf numFmtId="10" fontId="0" fillId="0" borderId="1" xfId="0" applyNumberFormat="1" applyBorder="1" applyAlignment="1">
      <alignment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3" xfId="0" applyFont="1" applyBorder="1" applyAlignment="1">
      <alignment horizontal="center" vertical="center"/>
    </xf>
    <xf numFmtId="0" fontId="7" fillId="0" borderId="42" xfId="0" applyFont="1" applyBorder="1" applyAlignment="1">
      <alignment horizontal="center" vertical="center"/>
    </xf>
    <xf numFmtId="0" fontId="0" fillId="0" borderId="2" xfId="0" applyBorder="1" applyAlignment="1">
      <alignment horizontal="center" vertical="center" wrapText="1"/>
    </xf>
    <xf numFmtId="10" fontId="7" fillId="5" borderId="1" xfId="0" applyNumberFormat="1" applyFont="1" applyFill="1" applyBorder="1" applyAlignment="1" applyProtection="1">
      <alignment horizontal="center" vertical="center"/>
      <protection locked="0"/>
    </xf>
    <xf numFmtId="0" fontId="0" fillId="0" borderId="3" xfId="0" applyBorder="1" applyAlignment="1">
      <alignment horizontal="center" vertical="center" wrapText="1"/>
    </xf>
    <xf numFmtId="10" fontId="9" fillId="0" borderId="45" xfId="0" applyNumberFormat="1" applyFont="1" applyBorder="1" applyAlignment="1">
      <alignment horizontal="center" vertical="center"/>
    </xf>
    <xf numFmtId="0" fontId="7" fillId="0" borderId="46" xfId="0" applyFont="1" applyBorder="1" applyAlignment="1">
      <alignment horizontal="center" vertical="center"/>
    </xf>
    <xf numFmtId="0" fontId="10" fillId="0" borderId="47" xfId="0" applyFont="1" applyBorder="1" applyAlignment="1">
      <alignment horizontal="center" vertical="center" wrapText="1"/>
    </xf>
    <xf numFmtId="0" fontId="0" fillId="6" borderId="3" xfId="0" applyFill="1" applyBorder="1" applyAlignment="1">
      <alignment horizontal="center" vertical="center" wrapText="1"/>
    </xf>
    <xf numFmtId="0" fontId="0" fillId="0" borderId="4" xfId="0" applyBorder="1" applyAlignment="1">
      <alignment horizontal="center" vertical="center" wrapText="1"/>
    </xf>
    <xf numFmtId="10" fontId="7" fillId="5" borderId="5" xfId="0" applyNumberFormat="1" applyFont="1" applyFill="1" applyBorder="1" applyAlignment="1" applyProtection="1">
      <alignment horizontal="center" vertical="center"/>
      <protection locked="0"/>
    </xf>
    <xf numFmtId="0" fontId="0" fillId="0" borderId="39" xfId="0" applyBorder="1"/>
    <xf numFmtId="0" fontId="0" fillId="0" borderId="40" xfId="0" applyBorder="1"/>
    <xf numFmtId="0" fontId="0" fillId="0" borderId="32" xfId="0" applyBorder="1"/>
    <xf numFmtId="0" fontId="4" fillId="0" borderId="0" xfId="0" applyFont="1"/>
    <xf numFmtId="0" fontId="0" fillId="0" borderId="0" xfId="0"/>
    <xf numFmtId="43" fontId="0" fillId="0" borderId="0" xfId="1" applyFont="1"/>
    <xf numFmtId="43" fontId="0" fillId="0" borderId="0" xfId="1" applyFont="1" applyBorder="1"/>
    <xf numFmtId="0" fontId="0" fillId="0" borderId="0" xfId="0" applyAlignment="1">
      <alignment horizontal="center" vertical="center"/>
    </xf>
    <xf numFmtId="0" fontId="0" fillId="0" borderId="0" xfId="0" applyBorder="1" applyAlignment="1">
      <alignment horizontal="center" vertical="center"/>
    </xf>
    <xf numFmtId="0" fontId="2" fillId="0" borderId="9" xfId="0" applyFont="1" applyBorder="1" applyAlignment="1">
      <alignment horizontal="center" vertical="center"/>
    </xf>
    <xf numFmtId="0" fontId="2" fillId="0" borderId="105" xfId="0" applyFont="1" applyBorder="1"/>
    <xf numFmtId="43" fontId="2" fillId="0" borderId="105" xfId="1" applyFont="1" applyBorder="1"/>
    <xf numFmtId="0" fontId="2" fillId="0" borderId="0" xfId="0" applyFont="1"/>
    <xf numFmtId="0" fontId="2" fillId="0" borderId="0" xfId="0" applyFont="1" applyAlignment="1">
      <alignment horizontal="center" vertical="center"/>
    </xf>
    <xf numFmtId="0" fontId="2" fillId="0" borderId="10" xfId="0" applyFont="1" applyBorder="1" applyAlignment="1">
      <alignment horizontal="center" vertical="center"/>
    </xf>
    <xf numFmtId="0" fontId="2" fillId="0" borderId="73" xfId="0" applyFont="1" applyBorder="1" applyAlignment="1">
      <alignment horizontal="center" vertical="center"/>
    </xf>
    <xf numFmtId="0" fontId="2" fillId="0" borderId="0" xfId="0" applyFont="1" applyFill="1"/>
    <xf numFmtId="10" fontId="7" fillId="5" borderId="72" xfId="0" applyNumberFormat="1" applyFont="1" applyFill="1" applyBorder="1" applyAlignment="1" applyProtection="1">
      <alignment horizontal="center" vertical="center"/>
      <protection locked="0"/>
    </xf>
    <xf numFmtId="10" fontId="2" fillId="0" borderId="106" xfId="2" applyNumberFormat="1" applyFont="1" applyBorder="1"/>
    <xf numFmtId="0" fontId="83" fillId="0" borderId="0" xfId="0" applyFont="1" applyFill="1"/>
    <xf numFmtId="0" fontId="83" fillId="0" borderId="0" xfId="0" applyFont="1" applyFill="1" applyAlignment="1">
      <alignment horizontal="center" vertical="center"/>
    </xf>
    <xf numFmtId="0" fontId="84" fillId="0" borderId="0" xfId="0" applyFont="1" applyFill="1" applyAlignment="1">
      <alignment horizontal="center" vertical="center"/>
    </xf>
    <xf numFmtId="0" fontId="2" fillId="2" borderId="17" xfId="0" applyFont="1" applyFill="1" applyBorder="1" applyAlignment="1">
      <alignment horizontal="left" vertical="center" wrapText="1"/>
    </xf>
    <xf numFmtId="0" fontId="86" fillId="0" borderId="0" xfId="0" applyFont="1" applyFill="1"/>
    <xf numFmtId="0" fontId="83" fillId="0" borderId="0" xfId="0" applyFont="1" applyFill="1" applyAlignment="1">
      <alignment wrapText="1"/>
    </xf>
    <xf numFmtId="0" fontId="0" fillId="0" borderId="0" xfId="0"/>
    <xf numFmtId="0" fontId="4" fillId="0" borderId="72" xfId="0" applyFont="1" applyFill="1" applyBorder="1" applyAlignment="1">
      <alignment horizontal="left" vertical="center"/>
    </xf>
    <xf numFmtId="0" fontId="83" fillId="0" borderId="38" xfId="0" applyFont="1" applyFill="1" applyBorder="1"/>
    <xf numFmtId="0" fontId="85" fillId="0" borderId="38" xfId="0" applyFont="1" applyFill="1" applyBorder="1" applyAlignment="1">
      <alignment horizontal="left"/>
    </xf>
    <xf numFmtId="0" fontId="85" fillId="0" borderId="0" xfId="0" applyFont="1" applyFill="1" applyBorder="1" applyAlignment="1">
      <alignment horizontal="left"/>
    </xf>
    <xf numFmtId="171" fontId="4" fillId="0" borderId="114" xfId="0" applyNumberFormat="1" applyFont="1" applyFill="1" applyBorder="1" applyAlignment="1">
      <alignment horizontal="center" vertical="center"/>
    </xf>
    <xf numFmtId="169" fontId="4" fillId="0" borderId="114" xfId="1941" applyFont="1" applyFill="1" applyBorder="1" applyAlignment="1">
      <alignment horizontal="center" vertical="center"/>
    </xf>
    <xf numFmtId="169" fontId="7" fillId="0" borderId="115" xfId="1941" applyFont="1" applyFill="1" applyBorder="1" applyAlignment="1">
      <alignment horizontal="center" vertical="center"/>
    </xf>
    <xf numFmtId="4" fontId="4" fillId="0" borderId="114" xfId="2194" applyNumberFormat="1" applyFont="1" applyFill="1" applyBorder="1" applyAlignment="1">
      <alignment horizontal="center" vertical="center" wrapText="1"/>
    </xf>
    <xf numFmtId="0" fontId="4" fillId="0" borderId="110" xfId="0" applyFont="1" applyFill="1" applyBorder="1" applyAlignment="1">
      <alignment horizontal="center" vertical="center"/>
    </xf>
    <xf numFmtId="169" fontId="4" fillId="0" borderId="110" xfId="1941" applyFont="1" applyFill="1" applyBorder="1" applyAlignment="1">
      <alignment horizontal="center" vertical="center"/>
    </xf>
    <xf numFmtId="4" fontId="4" fillId="0" borderId="110" xfId="2194" applyNumberFormat="1" applyFont="1" applyFill="1" applyBorder="1" applyAlignment="1">
      <alignment horizontal="center" vertical="center" wrapText="1"/>
    </xf>
    <xf numFmtId="0" fontId="4" fillId="0" borderId="19" xfId="0" applyFont="1" applyFill="1" applyBorder="1" applyAlignment="1">
      <alignment horizontal="center" vertical="center"/>
    </xf>
    <xf numFmtId="169" fontId="7" fillId="0" borderId="19" xfId="0" applyNumberFormat="1" applyFont="1" applyFill="1" applyBorder="1" applyAlignment="1">
      <alignment horizontal="center" vertical="center"/>
    </xf>
    <xf numFmtId="4" fontId="7" fillId="0" borderId="110" xfId="0" applyNumberFormat="1" applyFont="1" applyFill="1" applyBorder="1" applyAlignment="1">
      <alignment horizontal="center" vertical="center"/>
    </xf>
    <xf numFmtId="0" fontId="4" fillId="0" borderId="50" xfId="0" applyFont="1" applyFill="1" applyBorder="1" applyAlignment="1">
      <alignment horizontal="center" vertical="center"/>
    </xf>
    <xf numFmtId="2" fontId="4" fillId="0" borderId="114" xfId="0" applyNumberFormat="1" applyFont="1" applyFill="1" applyBorder="1" applyAlignment="1">
      <alignment horizontal="center" vertical="center"/>
    </xf>
    <xf numFmtId="0" fontId="4" fillId="0" borderId="0" xfId="0" applyFont="1" applyFill="1" applyAlignment="1">
      <alignment horizontal="center" vertical="center"/>
    </xf>
    <xf numFmtId="2" fontId="4" fillId="0" borderId="110" xfId="0" applyNumberFormat="1" applyFont="1" applyFill="1" applyBorder="1" applyAlignment="1">
      <alignment horizontal="center" vertical="center"/>
    </xf>
    <xf numFmtId="169" fontId="4" fillId="0" borderId="19" xfId="0" applyNumberFormat="1" applyFont="1" applyFill="1" applyBorder="1" applyAlignment="1">
      <alignment horizontal="center" vertical="center"/>
    </xf>
    <xf numFmtId="0" fontId="0" fillId="0" borderId="0" xfId="0"/>
    <xf numFmtId="0" fontId="2" fillId="0" borderId="0" xfId="0" applyFont="1" applyBorder="1"/>
    <xf numFmtId="0" fontId="0" fillId="0" borderId="0" xfId="0"/>
    <xf numFmtId="0" fontId="2" fillId="87" borderId="0" xfId="0" applyFont="1" applyFill="1" applyAlignment="1">
      <alignment horizontal="center" vertical="center"/>
    </xf>
    <xf numFmtId="0" fontId="2" fillId="87" borderId="0" xfId="0" applyFont="1" applyFill="1"/>
    <xf numFmtId="43" fontId="2" fillId="87" borderId="0" xfId="1" applyFont="1" applyFill="1"/>
    <xf numFmtId="43" fontId="2" fillId="87" borderId="0" xfId="1" applyFont="1" applyFill="1" applyAlignment="1">
      <alignment horizontal="right"/>
    </xf>
    <xf numFmtId="10" fontId="2" fillId="87" borderId="0" xfId="2" applyNumberFormat="1" applyFont="1" applyFill="1" applyAlignment="1">
      <alignment horizontal="left"/>
    </xf>
    <xf numFmtId="17" fontId="2" fillId="87" borderId="0" xfId="1" applyNumberFormat="1" applyFont="1" applyFill="1" applyAlignment="1">
      <alignment horizontal="left"/>
    </xf>
    <xf numFmtId="0" fontId="2" fillId="87" borderId="0" xfId="0" applyFont="1" applyFill="1" applyAlignment="1">
      <alignment horizontal="left"/>
    </xf>
    <xf numFmtId="0" fontId="4" fillId="0" borderId="0" xfId="0" applyFont="1" applyAlignment="1">
      <alignment horizontal="right"/>
    </xf>
    <xf numFmtId="10" fontId="4" fillId="0" borderId="18" xfId="2" applyNumberFormat="1" applyFont="1" applyBorder="1" applyAlignment="1">
      <alignment horizontal="center" vertical="center"/>
    </xf>
    <xf numFmtId="167" fontId="4" fillId="4" borderId="6" xfId="0" applyNumberFormat="1" applyFont="1" applyFill="1" applyBorder="1"/>
    <xf numFmtId="167" fontId="4" fillId="4" borderId="19" xfId="0" applyNumberFormat="1" applyFont="1" applyFill="1" applyBorder="1"/>
    <xf numFmtId="167" fontId="4" fillId="0" borderId="0" xfId="0" applyNumberFormat="1" applyFont="1"/>
    <xf numFmtId="10" fontId="4" fillId="0" borderId="21" xfId="2" applyNumberFormat="1" applyFont="1" applyBorder="1" applyAlignment="1">
      <alignment horizontal="center" vertical="center"/>
    </xf>
    <xf numFmtId="9" fontId="4" fillId="0" borderId="73" xfId="2" applyFont="1" applyBorder="1"/>
    <xf numFmtId="0" fontId="4" fillId="0" borderId="73" xfId="0" applyFont="1" applyBorder="1" applyAlignment="1">
      <alignment horizontal="center" vertical="center"/>
    </xf>
    <xf numFmtId="4" fontId="4" fillId="0" borderId="72" xfId="0" applyNumberFormat="1" applyFont="1" applyBorder="1" applyAlignment="1">
      <alignment horizontal="center" vertical="center"/>
    </xf>
    <xf numFmtId="0" fontId="0" fillId="2" borderId="72" xfId="0" applyFont="1" applyFill="1" applyBorder="1" applyAlignment="1">
      <alignment horizontal="left" vertical="center" wrapText="1"/>
    </xf>
    <xf numFmtId="0" fontId="0" fillId="2" borderId="17" xfId="0" applyFont="1" applyFill="1" applyBorder="1" applyAlignment="1">
      <alignment horizontal="left" vertical="center" wrapText="1"/>
    </xf>
    <xf numFmtId="0" fontId="30" fillId="85" borderId="72" xfId="2183" applyFont="1" applyFill="1" applyBorder="1" applyAlignment="1">
      <alignment horizontal="justify" vertical="center" wrapText="1"/>
    </xf>
    <xf numFmtId="0" fontId="30" fillId="85" borderId="72" xfId="0" applyFont="1" applyFill="1" applyBorder="1" applyAlignment="1">
      <alignment horizontal="justify" vertical="center" wrapText="1"/>
    </xf>
    <xf numFmtId="0" fontId="30" fillId="85" borderId="17" xfId="0" applyFont="1" applyFill="1" applyBorder="1" applyAlignment="1">
      <alignment horizontal="justify" vertical="center" wrapText="1"/>
    </xf>
    <xf numFmtId="4" fontId="7" fillId="0" borderId="72" xfId="0" applyNumberFormat="1" applyFont="1" applyBorder="1" applyAlignment="1">
      <alignment horizontal="left" vertical="center"/>
    </xf>
    <xf numFmtId="10" fontId="4" fillId="0" borderId="21" xfId="2" applyNumberFormat="1" applyFont="1" applyBorder="1" applyAlignment="1">
      <alignment horizontal="center"/>
    </xf>
    <xf numFmtId="10" fontId="7" fillId="0" borderId="73" xfId="2" applyNumberFormat="1" applyFont="1" applyBorder="1" applyAlignment="1"/>
    <xf numFmtId="4" fontId="7" fillId="0" borderId="73" xfId="0" applyNumberFormat="1" applyFont="1" applyBorder="1"/>
    <xf numFmtId="0" fontId="4" fillId="0" borderId="4" xfId="0" applyFont="1" applyBorder="1" applyAlignment="1">
      <alignment horizontal="center" vertical="center"/>
    </xf>
    <xf numFmtId="10" fontId="7" fillId="0" borderId="4" xfId="2" applyNumberFormat="1" applyFont="1" applyBorder="1"/>
    <xf numFmtId="10" fontId="7" fillId="0" borderId="5" xfId="2" applyNumberFormat="1" applyFont="1" applyBorder="1"/>
    <xf numFmtId="43" fontId="4" fillId="0" borderId="0" xfId="1" applyFont="1"/>
    <xf numFmtId="10" fontId="4" fillId="0" borderId="18" xfId="2" applyNumberFormat="1" applyFont="1" applyFill="1" applyBorder="1" applyAlignment="1">
      <alignment horizontal="center" vertical="center"/>
    </xf>
    <xf numFmtId="10" fontId="4" fillId="87" borderId="118" xfId="2" applyNumberFormat="1" applyFont="1" applyFill="1" applyBorder="1" applyAlignment="1">
      <alignment horizontal="center" vertical="center"/>
    </xf>
    <xf numFmtId="10" fontId="4" fillId="87" borderId="18" xfId="2" applyNumberFormat="1" applyFont="1" applyFill="1" applyBorder="1" applyAlignment="1">
      <alignment horizontal="center" vertical="center"/>
    </xf>
    <xf numFmtId="9" fontId="4" fillId="0" borderId="6" xfId="2" applyFont="1" applyBorder="1"/>
    <xf numFmtId="9" fontId="4" fillId="0" borderId="19" xfId="2" applyFont="1" applyBorder="1"/>
    <xf numFmtId="0" fontId="0" fillId="2" borderId="72" xfId="0" applyFont="1" applyFill="1" applyBorder="1"/>
    <xf numFmtId="167" fontId="4" fillId="0" borderId="24" xfId="0" applyNumberFormat="1" applyFont="1" applyBorder="1"/>
    <xf numFmtId="0" fontId="10" fillId="0" borderId="0" xfId="0" applyFont="1"/>
    <xf numFmtId="167" fontId="7" fillId="0" borderId="0" xfId="0" applyNumberFormat="1" applyFont="1"/>
    <xf numFmtId="10" fontId="7" fillId="0" borderId="72" xfId="2" applyNumberFormat="1" applyFont="1" applyBorder="1" applyAlignment="1">
      <alignment horizontal="center"/>
    </xf>
    <xf numFmtId="4" fontId="2" fillId="0" borderId="0" xfId="1" applyNumberFormat="1" applyFont="1" applyFill="1" applyBorder="1" applyAlignment="1">
      <alignment horizontal="right" vertical="center" wrapText="1"/>
    </xf>
    <xf numFmtId="0" fontId="4" fillId="0" borderId="110" xfId="0" applyFont="1" applyFill="1" applyBorder="1" applyAlignment="1">
      <alignment horizontal="justify" vertical="center" wrapText="1"/>
    </xf>
    <xf numFmtId="0" fontId="7" fillId="0" borderId="110" xfId="0" applyFont="1" applyFill="1" applyBorder="1" applyAlignment="1">
      <alignment horizontal="justify" vertical="center" wrapText="1"/>
    </xf>
    <xf numFmtId="171" fontId="4" fillId="0" borderId="110" xfId="0" applyNumberFormat="1" applyFont="1" applyFill="1" applyBorder="1" applyAlignment="1">
      <alignment horizontal="center" vertical="center"/>
    </xf>
    <xf numFmtId="169" fontId="4" fillId="0" borderId="110" xfId="1941" applyFont="1" applyFill="1" applyBorder="1" applyAlignment="1">
      <alignment horizontal="right" vertical="center"/>
    </xf>
    <xf numFmtId="198" fontId="4" fillId="0" borderId="110" xfId="0" applyNumberFormat="1" applyFont="1" applyFill="1" applyBorder="1" applyAlignment="1">
      <alignment horizontal="center" vertical="center"/>
    </xf>
    <xf numFmtId="17" fontId="90" fillId="0" borderId="0" xfId="0" applyNumberFormat="1" applyFont="1"/>
    <xf numFmtId="0" fontId="77" fillId="88" borderId="0" xfId="727" applyFill="1"/>
    <xf numFmtId="0" fontId="77" fillId="0" borderId="0" xfId="727"/>
    <xf numFmtId="0" fontId="91" fillId="88" borderId="123" xfId="727" applyFont="1" applyFill="1" applyBorder="1"/>
    <xf numFmtId="0" fontId="77" fillId="88" borderId="124" xfId="727" applyFill="1" applyBorder="1"/>
    <xf numFmtId="0" fontId="91" fillId="88" borderId="124" xfId="727" applyFont="1" applyFill="1" applyBorder="1"/>
    <xf numFmtId="0" fontId="77" fillId="88" borderId="125" xfId="727" applyFill="1" applyBorder="1"/>
    <xf numFmtId="0" fontId="77" fillId="88" borderId="127" xfId="727" applyFill="1" applyBorder="1"/>
    <xf numFmtId="0" fontId="91" fillId="88" borderId="126" xfId="727" applyFont="1" applyFill="1" applyBorder="1"/>
    <xf numFmtId="0" fontId="91" fillId="88" borderId="0" xfId="727" applyFont="1" applyFill="1"/>
    <xf numFmtId="0" fontId="93" fillId="88" borderId="0" xfId="727" applyFont="1" applyFill="1" applyAlignment="1">
      <alignment horizontal="center"/>
    </xf>
    <xf numFmtId="0" fontId="77" fillId="88" borderId="128" xfId="727" applyFill="1" applyBorder="1"/>
    <xf numFmtId="0" fontId="77" fillId="88" borderId="129" xfId="727" applyFill="1" applyBorder="1"/>
    <xf numFmtId="0" fontId="77" fillId="88" borderId="130" xfId="727" applyFill="1" applyBorder="1"/>
    <xf numFmtId="0" fontId="77" fillId="89" borderId="0" xfId="727" applyFill="1" applyAlignment="1">
      <alignment wrapText="1"/>
    </xf>
    <xf numFmtId="0" fontId="94" fillId="89" borderId="0" xfId="727" applyFont="1" applyFill="1"/>
    <xf numFmtId="0" fontId="94" fillId="89" borderId="0" xfId="727" applyFont="1" applyFill="1" applyAlignment="1">
      <alignment wrapText="1"/>
    </xf>
    <xf numFmtId="4" fontId="94" fillId="89" borderId="0" xfId="727" applyNumberFormat="1" applyFont="1" applyFill="1"/>
    <xf numFmtId="0" fontId="95" fillId="89" borderId="0" xfId="727" applyFont="1" applyFill="1" applyAlignment="1">
      <alignment wrapText="1"/>
    </xf>
    <xf numFmtId="0" fontId="96" fillId="89" borderId="0" xfId="727" applyFont="1" applyFill="1"/>
    <xf numFmtId="0" fontId="96" fillId="89" borderId="0" xfId="727" applyFont="1" applyFill="1" applyAlignment="1">
      <alignment wrapText="1"/>
    </xf>
    <xf numFmtId="4" fontId="96" fillId="89" borderId="0" xfId="727" applyNumberFormat="1" applyFont="1" applyFill="1"/>
    <xf numFmtId="0" fontId="94" fillId="0" borderId="0" xfId="727" applyFont="1" applyAlignment="1">
      <alignment wrapText="1"/>
    </xf>
    <xf numFmtId="0" fontId="94" fillId="0" borderId="0" xfId="727" applyFont="1"/>
    <xf numFmtId="4" fontId="94" fillId="0" borderId="0" xfId="727" applyNumberFormat="1" applyFont="1"/>
    <xf numFmtId="0" fontId="77" fillId="0" borderId="0" xfId="727" applyAlignment="1">
      <alignment wrapText="1"/>
    </xf>
    <xf numFmtId="4" fontId="77" fillId="0" borderId="0" xfId="727" applyNumberFormat="1"/>
    <xf numFmtId="0" fontId="97" fillId="0" borderId="0" xfId="727" applyFont="1" applyAlignment="1">
      <alignment wrapText="1"/>
    </xf>
    <xf numFmtId="0" fontId="94" fillId="0" borderId="0" xfId="727" applyFont="1" applyAlignment="1">
      <alignment wrapText="1"/>
    </xf>
    <xf numFmtId="43" fontId="96" fillId="89" borderId="0" xfId="1" applyFont="1" applyFill="1" applyAlignment="1">
      <alignment wrapText="1"/>
    </xf>
    <xf numFmtId="43" fontId="94" fillId="0" borderId="0" xfId="1" applyFont="1" applyAlignment="1">
      <alignment wrapText="1"/>
    </xf>
    <xf numFmtId="43" fontId="94" fillId="0" borderId="0" xfId="1" applyFont="1"/>
    <xf numFmtId="4" fontId="96" fillId="89" borderId="0" xfId="727" applyNumberFormat="1" applyFont="1" applyFill="1" applyAlignment="1">
      <alignment wrapText="1"/>
    </xf>
    <xf numFmtId="17" fontId="77" fillId="0" borderId="0" xfId="727" applyNumberFormat="1"/>
    <xf numFmtId="0" fontId="94" fillId="0" borderId="0" xfId="727" applyFont="1" applyAlignment="1">
      <alignment wrapText="1"/>
    </xf>
    <xf numFmtId="2" fontId="4" fillId="0" borderId="110" xfId="1941" applyNumberFormat="1" applyFont="1" applyFill="1" applyBorder="1" applyAlignment="1">
      <alignment horizontal="center" vertical="center"/>
    </xf>
    <xf numFmtId="2" fontId="83" fillId="0" borderId="0" xfId="0" applyNumberFormat="1" applyFont="1" applyFill="1" applyAlignment="1"/>
    <xf numFmtId="0" fontId="98" fillId="87" borderId="27" xfId="0" applyFont="1" applyFill="1" applyBorder="1"/>
    <xf numFmtId="0" fontId="98" fillId="87" borderId="28" xfId="0" applyFont="1" applyFill="1" applyBorder="1" applyAlignment="1">
      <alignment horizontal="left"/>
    </xf>
    <xf numFmtId="0" fontId="98" fillId="87" borderId="28" xfId="0" applyFont="1" applyFill="1" applyBorder="1" applyAlignment="1">
      <alignment horizontal="center"/>
    </xf>
    <xf numFmtId="2" fontId="98" fillId="87" borderId="28" xfId="0" applyNumberFormat="1" applyFont="1" applyFill="1" applyBorder="1" applyAlignment="1">
      <alignment horizontal="right" vertical="center"/>
    </xf>
    <xf numFmtId="0" fontId="98" fillId="87" borderId="28" xfId="0" applyFont="1" applyFill="1" applyBorder="1" applyAlignment="1">
      <alignment horizontal="right"/>
    </xf>
    <xf numFmtId="0" fontId="98" fillId="87" borderId="29" xfId="0" applyFont="1" applyFill="1" applyBorder="1" applyAlignment="1">
      <alignment horizontal="right"/>
    </xf>
    <xf numFmtId="0" fontId="98" fillId="0" borderId="0" xfId="0" applyFont="1"/>
    <xf numFmtId="0" fontId="98" fillId="87" borderId="33" xfId="0" applyFont="1" applyFill="1" applyBorder="1"/>
    <xf numFmtId="0" fontId="98" fillId="87" borderId="0" xfId="0" applyFont="1" applyFill="1" applyBorder="1" applyAlignment="1">
      <alignment horizontal="left"/>
    </xf>
    <xf numFmtId="0" fontId="98" fillId="87" borderId="0" xfId="0" applyFont="1" applyFill="1" applyBorder="1" applyAlignment="1">
      <alignment horizontal="center"/>
    </xf>
    <xf numFmtId="2" fontId="98" fillId="87" borderId="0" xfId="0" applyNumberFormat="1" applyFont="1" applyFill="1" applyBorder="1" applyAlignment="1">
      <alignment horizontal="right" vertical="center"/>
    </xf>
    <xf numFmtId="0" fontId="98" fillId="87" borderId="0" xfId="0" applyFont="1" applyFill="1" applyBorder="1" applyAlignment="1">
      <alignment horizontal="right"/>
    </xf>
    <xf numFmtId="0" fontId="98" fillId="87" borderId="34" xfId="0" applyFont="1" applyFill="1" applyBorder="1" applyAlignment="1">
      <alignment horizontal="right"/>
    </xf>
    <xf numFmtId="0" fontId="89" fillId="87" borderId="0" xfId="0" applyFont="1" applyFill="1" applyBorder="1" applyAlignment="1">
      <alignment horizontal="left"/>
    </xf>
    <xf numFmtId="17" fontId="98" fillId="87" borderId="0" xfId="0" applyNumberFormat="1" applyFont="1" applyFill="1" applyBorder="1" applyAlignment="1">
      <alignment horizontal="right"/>
    </xf>
    <xf numFmtId="17" fontId="98" fillId="87" borderId="34" xfId="0" applyNumberFormat="1" applyFont="1" applyFill="1" applyBorder="1" applyAlignment="1">
      <alignment horizontal="right"/>
    </xf>
    <xf numFmtId="0" fontId="99" fillId="87" borderId="0" xfId="0" applyFont="1" applyFill="1" applyBorder="1" applyAlignment="1">
      <alignment horizontal="right"/>
    </xf>
    <xf numFmtId="0" fontId="89" fillId="87" borderId="33" xfId="0" applyFont="1" applyFill="1" applyBorder="1" applyAlignment="1">
      <alignment horizontal="left"/>
    </xf>
    <xf numFmtId="0" fontId="99" fillId="87" borderId="0" xfId="0" applyFont="1" applyFill="1" applyBorder="1" applyAlignment="1">
      <alignment horizontal="left"/>
    </xf>
    <xf numFmtId="10" fontId="98" fillId="87" borderId="0" xfId="0" applyNumberFormat="1" applyFont="1" applyFill="1" applyBorder="1" applyAlignment="1">
      <alignment horizontal="right"/>
    </xf>
    <xf numFmtId="0" fontId="98" fillId="87" borderId="30" xfId="0" applyFont="1" applyFill="1" applyBorder="1"/>
    <xf numFmtId="0" fontId="89" fillId="87" borderId="31" xfId="0" applyFont="1" applyFill="1" applyBorder="1" applyAlignment="1">
      <alignment horizontal="left"/>
    </xf>
    <xf numFmtId="0" fontId="98" fillId="87" borderId="31" xfId="0" applyFont="1" applyFill="1" applyBorder="1" applyAlignment="1">
      <alignment horizontal="center"/>
    </xf>
    <xf numFmtId="2" fontId="98" fillId="87" borderId="31" xfId="0" applyNumberFormat="1" applyFont="1" applyFill="1" applyBorder="1" applyAlignment="1">
      <alignment horizontal="right" vertical="center"/>
    </xf>
    <xf numFmtId="0" fontId="98" fillId="87" borderId="31" xfId="0" applyFont="1" applyFill="1" applyBorder="1" applyAlignment="1">
      <alignment horizontal="right"/>
    </xf>
    <xf numFmtId="17" fontId="98" fillId="87" borderId="32" xfId="0" applyNumberFormat="1" applyFont="1" applyFill="1" applyBorder="1" applyAlignment="1">
      <alignment horizontal="right"/>
    </xf>
    <xf numFmtId="0" fontId="98" fillId="2" borderId="42" xfId="0" applyFont="1" applyFill="1" applyBorder="1" applyAlignment="1">
      <alignment horizontal="right" vertical="center" wrapText="1"/>
    </xf>
    <xf numFmtId="0" fontId="89" fillId="2" borderId="51" xfId="0" applyFont="1" applyFill="1" applyBorder="1" applyAlignment="1">
      <alignment horizontal="center" vertical="center" wrapText="1"/>
    </xf>
    <xf numFmtId="0" fontId="89" fillId="2" borderId="102" xfId="0" applyFont="1" applyFill="1" applyBorder="1" applyAlignment="1">
      <alignment horizontal="center" vertical="center" wrapText="1"/>
    </xf>
    <xf numFmtId="0" fontId="89" fillId="2" borderId="93" xfId="0" applyFont="1" applyFill="1" applyBorder="1" applyAlignment="1">
      <alignment vertical="center" wrapText="1"/>
    </xf>
    <xf numFmtId="0" fontId="89" fillId="2" borderId="93" xfId="0" applyFont="1" applyFill="1" applyBorder="1" applyAlignment="1">
      <alignment horizontal="center" vertical="center" wrapText="1"/>
    </xf>
    <xf numFmtId="2" fontId="89" fillId="2" borderId="93" xfId="0" applyNumberFormat="1" applyFont="1" applyFill="1" applyBorder="1" applyAlignment="1">
      <alignment horizontal="right" vertical="center" wrapText="1"/>
    </xf>
    <xf numFmtId="0" fontId="89" fillId="2" borderId="8" xfId="0" applyFont="1" applyFill="1" applyBorder="1" applyAlignment="1">
      <alignment horizontal="right" vertical="center" wrapText="1"/>
    </xf>
    <xf numFmtId="0" fontId="89" fillId="2" borderId="15" xfId="0" applyFont="1" applyFill="1" applyBorder="1" applyAlignment="1">
      <alignment horizontal="right" vertical="center" wrapText="1"/>
    </xf>
    <xf numFmtId="0" fontId="89" fillId="2" borderId="121" xfId="0" applyFont="1" applyFill="1" applyBorder="1" applyAlignment="1">
      <alignment horizontal="right" vertical="center" wrapText="1"/>
    </xf>
    <xf numFmtId="9" fontId="89" fillId="2" borderId="52" xfId="2" applyFont="1" applyFill="1" applyBorder="1" applyAlignment="1">
      <alignment horizontal="center" vertical="center" wrapText="1"/>
    </xf>
    <xf numFmtId="0" fontId="99" fillId="0" borderId="6" xfId="0" applyFont="1" applyFill="1" applyBorder="1"/>
    <xf numFmtId="0" fontId="99" fillId="0" borderId="7" xfId="0" applyFont="1" applyFill="1" applyBorder="1" applyAlignment="1">
      <alignment horizontal="left" vertical="center" wrapText="1"/>
    </xf>
    <xf numFmtId="4" fontId="99" fillId="0" borderId="18" xfId="1" applyNumberFormat="1" applyFont="1" applyFill="1" applyBorder="1" applyAlignment="1">
      <alignment horizontal="right" vertical="center" wrapText="1"/>
    </xf>
    <xf numFmtId="43" fontId="99" fillId="0" borderId="0" xfId="1" applyFont="1" applyFill="1"/>
    <xf numFmtId="0" fontId="99" fillId="0" borderId="0" xfId="0" applyFont="1" applyFill="1"/>
    <xf numFmtId="43" fontId="100" fillId="0" borderId="0" xfId="1" applyFont="1" applyFill="1"/>
    <xf numFmtId="0" fontId="100" fillId="0" borderId="0" xfId="0" applyFont="1" applyFill="1"/>
    <xf numFmtId="0" fontId="99" fillId="0" borderId="110" xfId="0" applyFont="1" applyFill="1" applyBorder="1" applyAlignment="1">
      <alignment horizontal="left" vertical="center" wrapText="1"/>
    </xf>
    <xf numFmtId="2" fontId="99" fillId="0" borderId="110" xfId="0" applyNumberFormat="1" applyFont="1" applyFill="1" applyBorder="1" applyAlignment="1">
      <alignment horizontal="right" vertical="center" wrapText="1"/>
    </xf>
    <xf numFmtId="4" fontId="99" fillId="0" borderId="110" xfId="1" applyNumberFormat="1" applyFont="1" applyFill="1" applyBorder="1" applyAlignment="1">
      <alignment horizontal="right" vertical="center" wrapText="1"/>
    </xf>
    <xf numFmtId="0" fontId="99" fillId="0" borderId="0" xfId="0" applyFont="1"/>
    <xf numFmtId="0" fontId="99" fillId="0" borderId="110" xfId="0" applyFont="1" applyFill="1" applyBorder="1" applyAlignment="1">
      <alignment wrapText="1"/>
    </xf>
    <xf numFmtId="0" fontId="99" fillId="0" borderId="110" xfId="0" applyFont="1" applyFill="1" applyBorder="1" applyAlignment="1">
      <alignment vertical="center" wrapText="1"/>
    </xf>
    <xf numFmtId="0" fontId="99" fillId="0" borderId="114" xfId="0" applyFont="1" applyFill="1" applyBorder="1" applyAlignment="1">
      <alignment horizontal="left" vertical="center" wrapText="1"/>
    </xf>
    <xf numFmtId="0" fontId="99" fillId="0" borderId="110" xfId="0" applyFont="1" applyBorder="1" applyAlignment="1">
      <alignment vertical="center" wrapText="1"/>
    </xf>
    <xf numFmtId="167" fontId="99" fillId="0" borderId="112" xfId="93" applyNumberFormat="1" applyFont="1" applyFill="1" applyBorder="1" applyAlignment="1">
      <alignment horizontal="right" vertical="center"/>
    </xf>
    <xf numFmtId="2" fontId="99" fillId="0" borderId="110" xfId="1" applyNumberFormat="1" applyFont="1" applyFill="1" applyBorder="1" applyAlignment="1">
      <alignment horizontal="right" vertical="center" wrapText="1"/>
    </xf>
    <xf numFmtId="4" fontId="99" fillId="0" borderId="110" xfId="0" applyNumberFormat="1" applyFont="1" applyFill="1" applyBorder="1" applyAlignment="1">
      <alignment horizontal="right" vertical="center" wrapText="1"/>
    </xf>
    <xf numFmtId="0" fontId="99" fillId="0" borderId="110" xfId="0" applyFont="1" applyFill="1" applyBorder="1" applyAlignment="1">
      <alignment horizontal="left"/>
    </xf>
    <xf numFmtId="0" fontId="98" fillId="0" borderId="110" xfId="0" applyFont="1" applyBorder="1" applyAlignment="1">
      <alignment horizontal="left" vertical="center" wrapText="1"/>
    </xf>
    <xf numFmtId="0" fontId="99" fillId="0" borderId="110" xfId="0" applyFont="1" applyFill="1" applyBorder="1" applyAlignment="1">
      <alignment horizontal="center" wrapText="1"/>
    </xf>
    <xf numFmtId="0" fontId="98" fillId="0" borderId="110" xfId="0" applyFont="1" applyFill="1" applyBorder="1" applyAlignment="1">
      <alignment horizontal="left" vertical="center" wrapText="1"/>
    </xf>
    <xf numFmtId="0" fontId="98" fillId="0" borderId="110" xfId="0" applyFont="1" applyBorder="1" applyAlignment="1">
      <alignment vertical="center" wrapText="1"/>
    </xf>
    <xf numFmtId="43" fontId="99" fillId="0" borderId="110" xfId="1" applyFont="1" applyFill="1" applyBorder="1" applyAlignment="1">
      <alignment horizontal="center" vertical="center" wrapText="1"/>
    </xf>
    <xf numFmtId="0" fontId="99" fillId="0" borderId="110" xfId="0" applyFont="1" applyBorder="1" applyAlignment="1">
      <alignment horizontal="left" vertical="center" wrapText="1"/>
    </xf>
    <xf numFmtId="0" fontId="98" fillId="0" borderId="110" xfId="0" applyFont="1" applyFill="1" applyBorder="1" applyAlignment="1">
      <alignment vertical="center" wrapText="1"/>
    </xf>
    <xf numFmtId="0" fontId="100" fillId="0" borderId="0" xfId="0" applyFont="1"/>
    <xf numFmtId="0" fontId="98" fillId="0" borderId="110" xfId="0" applyFont="1" applyFill="1" applyBorder="1" applyAlignment="1">
      <alignment horizontal="center" vertical="center"/>
    </xf>
    <xf numFmtId="0" fontId="98" fillId="0" borderId="110" xfId="0" applyFont="1" applyFill="1" applyBorder="1" applyAlignment="1">
      <alignment wrapText="1"/>
    </xf>
    <xf numFmtId="43" fontId="99" fillId="0" borderId="110" xfId="1" applyFont="1" applyBorder="1" applyAlignment="1">
      <alignment horizontal="right"/>
    </xf>
    <xf numFmtId="43" fontId="99" fillId="0" borderId="110" xfId="1" applyFont="1" applyFill="1" applyBorder="1" applyAlignment="1">
      <alignment horizontal="right" vertical="center" wrapText="1"/>
    </xf>
    <xf numFmtId="0" fontId="98" fillId="0" borderId="0" xfId="0" applyFont="1" applyFill="1"/>
    <xf numFmtId="0" fontId="99" fillId="0" borderId="110" xfId="0" applyFont="1" applyFill="1" applyBorder="1" applyAlignment="1">
      <alignment horizontal="left" vertical="center"/>
    </xf>
    <xf numFmtId="0" fontId="99" fillId="0" borderId="110" xfId="2183" applyFont="1" applyFill="1" applyBorder="1" applyAlignment="1">
      <alignment horizontal="justify" vertical="center" wrapText="1"/>
    </xf>
    <xf numFmtId="0" fontId="99" fillId="0" borderId="113" xfId="0" applyFont="1" applyFill="1" applyBorder="1" applyAlignment="1">
      <alignment horizontal="center" vertical="center" wrapText="1"/>
    </xf>
    <xf numFmtId="0" fontId="99" fillId="0" borderId="110" xfId="0" applyFont="1" applyFill="1" applyBorder="1" applyAlignment="1">
      <alignment horizontal="center" vertical="center" wrapText="1"/>
    </xf>
    <xf numFmtId="2" fontId="99" fillId="0" borderId="112" xfId="0" applyNumberFormat="1" applyFont="1" applyFill="1" applyBorder="1" applyAlignment="1">
      <alignment horizontal="right" vertical="center"/>
    </xf>
    <xf numFmtId="0" fontId="99" fillId="0" borderId="110" xfId="0" applyFont="1" applyBorder="1" applyAlignment="1">
      <alignment wrapText="1"/>
    </xf>
    <xf numFmtId="0" fontId="99" fillId="2" borderId="9" xfId="0" applyFont="1" applyFill="1" applyBorder="1"/>
    <xf numFmtId="0" fontId="102" fillId="2" borderId="117" xfId="0" applyFont="1" applyFill="1" applyBorder="1" applyAlignment="1">
      <alignment horizontal="left" vertical="center" wrapText="1"/>
    </xf>
    <xf numFmtId="43" fontId="102" fillId="2" borderId="105" xfId="1" applyFont="1" applyFill="1" applyBorder="1" applyAlignment="1">
      <alignment horizontal="right" vertical="center" wrapText="1"/>
    </xf>
    <xf numFmtId="10" fontId="102" fillId="2" borderId="105" xfId="2" applyNumberFormat="1" applyFont="1" applyFill="1" applyBorder="1" applyAlignment="1">
      <alignment horizontal="right" vertical="center" wrapText="1"/>
    </xf>
    <xf numFmtId="166" fontId="102" fillId="85" borderId="105" xfId="1" applyNumberFormat="1" applyFont="1" applyFill="1" applyBorder="1" applyAlignment="1">
      <alignment horizontal="right" vertical="center" wrapText="1"/>
    </xf>
    <xf numFmtId="166" fontId="102" fillId="85" borderId="121" xfId="1" applyNumberFormat="1" applyFont="1" applyFill="1" applyBorder="1" applyAlignment="1">
      <alignment horizontal="right" vertical="center" wrapText="1"/>
    </xf>
    <xf numFmtId="43" fontId="98" fillId="0" borderId="0" xfId="0" applyNumberFormat="1" applyFont="1"/>
    <xf numFmtId="0" fontId="98" fillId="0" borderId="0" xfId="0" applyFont="1" applyAlignment="1">
      <alignment horizontal="left"/>
    </xf>
    <xf numFmtId="0" fontId="98" fillId="0" borderId="0" xfId="0" applyFont="1" applyAlignment="1">
      <alignment horizontal="center"/>
    </xf>
    <xf numFmtId="2" fontId="98" fillId="0" borderId="0" xfId="0" applyNumberFormat="1" applyFont="1" applyAlignment="1">
      <alignment horizontal="right" vertical="center"/>
    </xf>
    <xf numFmtId="0" fontId="98" fillId="0" borderId="0" xfId="0" applyFont="1" applyAlignment="1">
      <alignment horizontal="right"/>
    </xf>
    <xf numFmtId="4" fontId="98" fillId="0" borderId="0" xfId="1" applyNumberFormat="1" applyFont="1" applyFill="1" applyBorder="1" applyAlignment="1">
      <alignment horizontal="right" vertical="center" wrapText="1"/>
    </xf>
    <xf numFmtId="4" fontId="98" fillId="0" borderId="28" xfId="1" applyNumberFormat="1" applyFont="1" applyFill="1" applyBorder="1" applyAlignment="1">
      <alignment horizontal="right" vertical="center" wrapText="1"/>
    </xf>
    <xf numFmtId="0" fontId="98" fillId="0" borderId="0" xfId="0" applyFont="1" applyBorder="1" applyAlignment="1">
      <alignment horizontal="left"/>
    </xf>
    <xf numFmtId="0" fontId="104" fillId="0" borderId="0" xfId="0" applyFont="1" applyBorder="1" applyAlignment="1" applyProtection="1">
      <alignment horizontal="left" vertical="center" wrapText="1"/>
      <protection locked="0"/>
    </xf>
    <xf numFmtId="0" fontId="104" fillId="0" borderId="0" xfId="0" applyFont="1" applyBorder="1" applyAlignment="1" applyProtection="1">
      <alignment horizontal="center"/>
      <protection locked="0"/>
    </xf>
    <xf numFmtId="2" fontId="98" fillId="0" borderId="0" xfId="0" applyNumberFormat="1" applyFont="1" applyBorder="1" applyAlignment="1">
      <alignment horizontal="right" vertical="center"/>
    </xf>
    <xf numFmtId="0" fontId="98" fillId="0" borderId="0" xfId="0" applyFont="1" applyBorder="1" applyAlignment="1">
      <alignment horizontal="right"/>
    </xf>
    <xf numFmtId="0" fontId="98" fillId="0" borderId="0" xfId="0" applyFont="1" applyBorder="1" applyAlignment="1">
      <alignment horizontal="center"/>
    </xf>
    <xf numFmtId="166" fontId="98" fillId="0" borderId="0" xfId="0" applyNumberFormat="1" applyFont="1" applyAlignment="1">
      <alignment horizontal="right"/>
    </xf>
    <xf numFmtId="0" fontId="100" fillId="0" borderId="0" xfId="0" applyFont="1" applyAlignment="1">
      <alignment horizontal="right"/>
    </xf>
    <xf numFmtId="43" fontId="98" fillId="0" borderId="0" xfId="0" applyNumberFormat="1" applyFont="1" applyAlignment="1">
      <alignment horizontal="right"/>
    </xf>
    <xf numFmtId="43" fontId="98" fillId="0" borderId="0" xfId="1" applyFont="1"/>
    <xf numFmtId="166" fontId="98" fillId="0" borderId="0" xfId="0" applyNumberFormat="1" applyFont="1"/>
    <xf numFmtId="165" fontId="77" fillId="0" borderId="0" xfId="2197" applyFont="1"/>
    <xf numFmtId="165" fontId="77" fillId="0" borderId="0" xfId="727" applyNumberFormat="1"/>
    <xf numFmtId="0" fontId="94" fillId="0" borderId="0" xfId="727" applyFont="1" applyAlignment="1">
      <alignment wrapText="1"/>
    </xf>
    <xf numFmtId="0" fontId="94" fillId="0" borderId="0" xfId="727" applyFont="1"/>
    <xf numFmtId="17" fontId="86" fillId="0" borderId="0" xfId="0" applyNumberFormat="1" applyFont="1" applyFill="1"/>
    <xf numFmtId="43" fontId="86" fillId="0" borderId="0" xfId="1" applyFont="1" applyFill="1"/>
    <xf numFmtId="165" fontId="86" fillId="0" borderId="0" xfId="2197" applyFont="1" applyFill="1"/>
    <xf numFmtId="165" fontId="86" fillId="0" borderId="0" xfId="0" applyNumberFormat="1" applyFont="1" applyFill="1"/>
    <xf numFmtId="0" fontId="94" fillId="0" borderId="0" xfId="727" applyNumberFormat="1" applyFont="1" applyAlignment="1">
      <alignment horizontal="center" vertical="center" wrapText="1"/>
    </xf>
    <xf numFmtId="0" fontId="109" fillId="0" borderId="131" xfId="0" applyFont="1" applyFill="1" applyBorder="1" applyAlignment="1">
      <alignment horizontal="left" vertical="top" wrapText="1"/>
    </xf>
    <xf numFmtId="0" fontId="109" fillId="0" borderId="131" xfId="0" applyFont="1" applyFill="1" applyBorder="1" applyAlignment="1">
      <alignment horizontal="center" vertical="top" wrapText="1"/>
    </xf>
    <xf numFmtId="0" fontId="109" fillId="0" borderId="131" xfId="0" applyFont="1" applyFill="1" applyBorder="1" applyAlignment="1">
      <alignment horizontal="right" vertical="top" wrapText="1"/>
    </xf>
    <xf numFmtId="0" fontId="0" fillId="0" borderId="0" xfId="0" applyFill="1" applyAlignment="1"/>
    <xf numFmtId="0" fontId="107" fillId="0" borderId="0" xfId="0" applyFont="1" applyFill="1" applyAlignment="1">
      <alignment vertical="top" wrapText="1"/>
    </xf>
    <xf numFmtId="0" fontId="108" fillId="0" borderId="0" xfId="0" applyFont="1" applyFill="1" applyAlignment="1">
      <alignment vertical="top" wrapText="1"/>
    </xf>
    <xf numFmtId="0" fontId="110" fillId="0" borderId="0" xfId="727" applyFont="1"/>
    <xf numFmtId="0" fontId="94" fillId="0" borderId="0" xfId="727" applyFont="1" applyAlignment="1">
      <alignment wrapText="1"/>
    </xf>
    <xf numFmtId="1" fontId="99" fillId="0" borderId="0" xfId="1" applyNumberFormat="1" applyFont="1" applyFill="1"/>
    <xf numFmtId="0" fontId="111" fillId="89" borderId="0" xfId="727" applyFont="1" applyFill="1"/>
    <xf numFmtId="0" fontId="111" fillId="89" borderId="0" xfId="727" applyFont="1" applyFill="1" applyAlignment="1">
      <alignment wrapText="1"/>
    </xf>
    <xf numFmtId="4" fontId="111" fillId="89" borderId="0" xfId="727" applyNumberFormat="1" applyFont="1" applyFill="1" applyAlignment="1">
      <alignment wrapText="1"/>
    </xf>
    <xf numFmtId="4" fontId="111" fillId="89" borderId="0" xfId="727" applyNumberFormat="1" applyFont="1" applyFill="1"/>
    <xf numFmtId="0" fontId="102" fillId="87" borderId="0" xfId="0" applyFont="1" applyFill="1" applyBorder="1" applyAlignment="1">
      <alignment horizontal="left"/>
    </xf>
    <xf numFmtId="0" fontId="89" fillId="87" borderId="0" xfId="0" applyFont="1" applyFill="1" applyBorder="1" applyAlignment="1">
      <alignment horizontal="right"/>
    </xf>
    <xf numFmtId="10" fontId="89" fillId="87" borderId="0" xfId="0" applyNumberFormat="1" applyFont="1" applyFill="1" applyBorder="1" applyAlignment="1">
      <alignment horizontal="right"/>
    </xf>
    <xf numFmtId="0" fontId="89" fillId="87" borderId="31" xfId="0" applyFont="1" applyFill="1" applyBorder="1" applyAlignment="1">
      <alignment horizontal="right"/>
    </xf>
    <xf numFmtId="10" fontId="89" fillId="87" borderId="31" xfId="0" applyNumberFormat="1" applyFont="1" applyFill="1" applyBorder="1" applyAlignment="1">
      <alignment horizontal="right"/>
    </xf>
    <xf numFmtId="10" fontId="89" fillId="87" borderId="31" xfId="0" applyNumberFormat="1" applyFont="1" applyFill="1" applyBorder="1" applyAlignment="1">
      <alignment horizontal="left"/>
    </xf>
    <xf numFmtId="43" fontId="99" fillId="0" borderId="0" xfId="1" applyFont="1" applyFill="1" applyBorder="1"/>
    <xf numFmtId="4" fontId="99" fillId="0" borderId="0" xfId="0" applyNumberFormat="1" applyFont="1" applyFill="1" applyBorder="1" applyAlignment="1">
      <alignment horizontal="right" vertical="center" wrapText="1"/>
    </xf>
    <xf numFmtId="0" fontId="7" fillId="3" borderId="13" xfId="0" applyFont="1" applyFill="1" applyBorder="1" applyAlignment="1">
      <alignment horizontal="center" vertical="center"/>
    </xf>
    <xf numFmtId="0" fontId="94" fillId="0" borderId="110" xfId="727" applyFont="1" applyFill="1" applyBorder="1"/>
    <xf numFmtId="0" fontId="109" fillId="0" borderId="110" xfId="2199" applyFont="1" applyFill="1" applyBorder="1" applyAlignment="1">
      <alignment horizontal="left" vertical="top" wrapText="1"/>
    </xf>
    <xf numFmtId="0" fontId="109" fillId="0" borderId="110" xfId="2199" applyFont="1" applyFill="1" applyBorder="1" applyAlignment="1">
      <alignment horizontal="center" vertical="top" wrapText="1"/>
    </xf>
    <xf numFmtId="0" fontId="109" fillId="0" borderId="110" xfId="2199" applyFont="1" applyFill="1" applyBorder="1" applyAlignment="1">
      <alignment horizontal="right" vertical="top" wrapText="1"/>
    </xf>
    <xf numFmtId="9" fontId="4" fillId="0" borderId="132" xfId="2" applyFont="1" applyBorder="1"/>
    <xf numFmtId="167" fontId="4" fillId="0" borderId="111" xfId="0" applyNumberFormat="1" applyFont="1" applyBorder="1"/>
    <xf numFmtId="10" fontId="7" fillId="0" borderId="132" xfId="2" applyNumberFormat="1" applyFont="1" applyBorder="1" applyAlignment="1"/>
    <xf numFmtId="167" fontId="4" fillId="4" borderId="50" xfId="0" applyNumberFormat="1" applyFont="1" applyFill="1" applyBorder="1"/>
    <xf numFmtId="9" fontId="4" fillId="0" borderId="113" xfId="2" applyFont="1" applyBorder="1"/>
    <xf numFmtId="9" fontId="4" fillId="0" borderId="111" xfId="2" applyFont="1" applyBorder="1"/>
    <xf numFmtId="9" fontId="4" fillId="0" borderId="50" xfId="2" applyFont="1" applyBorder="1"/>
    <xf numFmtId="167" fontId="4" fillId="4" borderId="110" xfId="0" applyNumberFormat="1" applyFont="1" applyFill="1" applyBorder="1"/>
    <xf numFmtId="9" fontId="4" fillId="0" borderId="110" xfId="2" applyFont="1" applyBorder="1"/>
    <xf numFmtId="167" fontId="4" fillId="4" borderId="10" xfId="0" applyNumberFormat="1" applyFont="1" applyFill="1" applyBorder="1"/>
    <xf numFmtId="167" fontId="4" fillId="4" borderId="104" xfId="0" applyNumberFormat="1" applyFont="1" applyFill="1" applyBorder="1"/>
    <xf numFmtId="167" fontId="4" fillId="4" borderId="44" xfId="0" applyNumberFormat="1" applyFont="1" applyFill="1" applyBorder="1"/>
    <xf numFmtId="167" fontId="4" fillId="4" borderId="14" xfId="0" applyNumberFormat="1" applyFont="1" applyFill="1" applyBorder="1"/>
    <xf numFmtId="9" fontId="4" fillId="0" borderId="133" xfId="2" applyFont="1" applyBorder="1"/>
    <xf numFmtId="167" fontId="4" fillId="4" borderId="133" xfId="0" applyNumberFormat="1" applyFont="1" applyFill="1" applyBorder="1"/>
    <xf numFmtId="9" fontId="4" fillId="0" borderId="112" xfId="2" applyFont="1" applyBorder="1"/>
    <xf numFmtId="167" fontId="4" fillId="4" borderId="132" xfId="0" applyNumberFormat="1" applyFont="1" applyFill="1" applyBorder="1"/>
    <xf numFmtId="167" fontId="4" fillId="0" borderId="110" xfId="0" applyNumberFormat="1" applyFont="1" applyBorder="1"/>
    <xf numFmtId="10" fontId="7" fillId="0" borderId="112" xfId="2" applyNumberFormat="1" applyFont="1" applyBorder="1" applyAlignment="1"/>
    <xf numFmtId="4" fontId="7" fillId="0" borderId="110" xfId="0" applyNumberFormat="1" applyFont="1" applyBorder="1"/>
    <xf numFmtId="167" fontId="7" fillId="0" borderId="132" xfId="0" applyNumberFormat="1" applyFont="1" applyBorder="1"/>
    <xf numFmtId="167" fontId="4" fillId="4" borderId="73" xfId="0" applyNumberFormat="1" applyFont="1" applyFill="1" applyBorder="1"/>
    <xf numFmtId="10" fontId="7" fillId="0" borderId="110" xfId="2" applyNumberFormat="1" applyFont="1" applyBorder="1" applyAlignment="1"/>
    <xf numFmtId="0" fontId="7" fillId="3" borderId="114" xfId="0" applyFont="1" applyFill="1" applyBorder="1" applyAlignment="1">
      <alignment horizontal="center" vertical="center"/>
    </xf>
    <xf numFmtId="0" fontId="7" fillId="3" borderId="119" xfId="0" applyFont="1" applyFill="1" applyBorder="1" applyAlignment="1">
      <alignment horizontal="center" vertical="center"/>
    </xf>
    <xf numFmtId="0" fontId="7" fillId="3" borderId="134" xfId="0" applyFont="1" applyFill="1" applyBorder="1" applyAlignment="1">
      <alignment horizontal="center" vertical="center"/>
    </xf>
    <xf numFmtId="167" fontId="4" fillId="4" borderId="11" xfId="0" applyNumberFormat="1" applyFont="1" applyFill="1" applyBorder="1"/>
    <xf numFmtId="0" fontId="94" fillId="0" borderId="0" xfId="727" applyFont="1" applyFill="1" applyBorder="1"/>
    <xf numFmtId="0" fontId="109" fillId="0" borderId="0" xfId="2199" applyFont="1" applyFill="1" applyBorder="1" applyAlignment="1">
      <alignment horizontal="left" vertical="top" wrapText="1"/>
    </xf>
    <xf numFmtId="0" fontId="109" fillId="0" borderId="0" xfId="2199" applyFont="1" applyFill="1" applyBorder="1" applyAlignment="1">
      <alignment horizontal="center" vertical="top" wrapText="1"/>
    </xf>
    <xf numFmtId="0" fontId="109" fillId="0" borderId="0" xfId="2199" applyFont="1" applyFill="1" applyBorder="1" applyAlignment="1">
      <alignment horizontal="right" vertical="top" wrapText="1"/>
    </xf>
    <xf numFmtId="0" fontId="96" fillId="89" borderId="110" xfId="727" applyFont="1" applyFill="1" applyBorder="1"/>
    <xf numFmtId="0" fontId="96" fillId="89" borderId="110" xfId="727" applyFont="1" applyFill="1" applyBorder="1" applyAlignment="1">
      <alignment wrapText="1"/>
    </xf>
    <xf numFmtId="4" fontId="96" fillId="89" borderId="110" xfId="727" applyNumberFormat="1" applyFont="1" applyFill="1" applyBorder="1" applyAlignment="1">
      <alignment wrapText="1"/>
    </xf>
    <xf numFmtId="4" fontId="96" fillId="89" borderId="110" xfId="727" applyNumberFormat="1" applyFont="1" applyFill="1" applyBorder="1"/>
    <xf numFmtId="0" fontId="109" fillId="0" borderId="110" xfId="2200" applyFont="1" applyFill="1" applyBorder="1" applyAlignment="1">
      <alignment horizontal="left" vertical="top" wrapText="1"/>
    </xf>
    <xf numFmtId="0" fontId="109" fillId="0" borderId="110" xfId="2200" applyFont="1" applyFill="1" applyBorder="1" applyAlignment="1">
      <alignment horizontal="center" vertical="top" wrapText="1"/>
    </xf>
    <xf numFmtId="0" fontId="109" fillId="0" borderId="110" xfId="2200" applyFont="1" applyFill="1" applyBorder="1" applyAlignment="1">
      <alignment horizontal="right" vertical="top" wrapText="1"/>
    </xf>
    <xf numFmtId="0" fontId="0" fillId="2" borderId="73" xfId="0" applyFont="1" applyFill="1" applyBorder="1" applyAlignment="1">
      <alignment horizontal="center" vertical="center"/>
    </xf>
    <xf numFmtId="0" fontId="0" fillId="2" borderId="73" xfId="0" applyFont="1" applyFill="1" applyBorder="1" applyAlignment="1">
      <alignment horizontal="center" vertical="center" wrapText="1"/>
    </xf>
    <xf numFmtId="0" fontId="30" fillId="2" borderId="73" xfId="0" applyFont="1" applyFill="1" applyBorder="1" applyAlignment="1">
      <alignment horizontal="center" vertical="center" wrapText="1"/>
    </xf>
    <xf numFmtId="43" fontId="1" fillId="2" borderId="110" xfId="1" applyFont="1" applyFill="1" applyBorder="1"/>
    <xf numFmtId="0" fontId="112" fillId="90" borderId="110" xfId="0" applyFont="1" applyFill="1" applyBorder="1" applyAlignment="1">
      <alignment horizontal="right" vertical="center" wrapText="1"/>
    </xf>
    <xf numFmtId="0" fontId="4" fillId="0" borderId="0" xfId="710" applyAlignment="1">
      <alignment vertical="center"/>
    </xf>
    <xf numFmtId="0" fontId="4" fillId="0" borderId="0" xfId="710" applyBorder="1" applyAlignment="1">
      <alignment vertical="center"/>
    </xf>
    <xf numFmtId="39" fontId="112" fillId="0" borderId="0" xfId="710" applyNumberFormat="1" applyFont="1" applyAlignment="1">
      <alignment vertical="center"/>
    </xf>
    <xf numFmtId="0" fontId="114" fillId="0" borderId="0" xfId="710" applyFont="1" applyBorder="1" applyAlignment="1">
      <alignment vertical="center"/>
    </xf>
    <xf numFmtId="0" fontId="4" fillId="0" borderId="0" xfId="710" applyBorder="1"/>
    <xf numFmtId="0" fontId="4" fillId="0" borderId="0" xfId="710"/>
    <xf numFmtId="0" fontId="112" fillId="91" borderId="31" xfId="710" applyFont="1" applyFill="1" applyBorder="1" applyAlignment="1">
      <alignment horizontal="center" vertical="center" wrapText="1"/>
    </xf>
    <xf numFmtId="49" fontId="112" fillId="0" borderId="44" xfId="710" applyNumberFormat="1" applyFont="1" applyBorder="1" applyAlignment="1">
      <alignment vertical="center"/>
    </xf>
    <xf numFmtId="0" fontId="113" fillId="0" borderId="44" xfId="710" applyFont="1" applyBorder="1" applyAlignment="1">
      <alignment vertical="center"/>
    </xf>
    <xf numFmtId="2" fontId="113" fillId="0" borderId="44" xfId="710" applyNumberFormat="1" applyFont="1" applyBorder="1" applyAlignment="1">
      <alignment horizontal="center" vertical="center"/>
    </xf>
    <xf numFmtId="0" fontId="115" fillId="0" borderId="0" xfId="710" applyFont="1" applyBorder="1" applyAlignment="1">
      <alignment vertical="center"/>
    </xf>
    <xf numFmtId="0" fontId="112" fillId="0" borderId="50" xfId="710" applyFont="1" applyBorder="1" applyAlignment="1">
      <alignment vertical="center"/>
    </xf>
    <xf numFmtId="0" fontId="113" fillId="0" borderId="50" xfId="710" applyFont="1" applyBorder="1" applyAlignment="1">
      <alignment vertical="center"/>
    </xf>
    <xf numFmtId="2" fontId="113" fillId="0" borderId="50" xfId="710" applyNumberFormat="1" applyFont="1" applyBorder="1" applyAlignment="1">
      <alignment horizontal="center" vertical="center"/>
    </xf>
    <xf numFmtId="0" fontId="115" fillId="0" borderId="0" xfId="710" applyFont="1" applyAlignment="1">
      <alignment vertical="center"/>
    </xf>
    <xf numFmtId="49" fontId="112" fillId="0" borderId="50" xfId="710" applyNumberFormat="1" applyFont="1" applyBorder="1" applyAlignment="1">
      <alignment vertical="center"/>
    </xf>
    <xf numFmtId="0" fontId="113" fillId="0" borderId="0" xfId="710" applyFont="1" applyBorder="1" applyAlignment="1">
      <alignment vertical="center"/>
    </xf>
    <xf numFmtId="0" fontId="113" fillId="0" borderId="0" xfId="710" applyFont="1" applyAlignment="1">
      <alignment vertical="center"/>
    </xf>
    <xf numFmtId="49" fontId="112" fillId="0" borderId="31" xfId="710" applyNumberFormat="1" applyFont="1" applyBorder="1" applyAlignment="1">
      <alignment vertical="center"/>
    </xf>
    <xf numFmtId="0" fontId="113" fillId="0" borderId="31" xfId="710" applyFont="1" applyBorder="1" applyAlignment="1">
      <alignment vertical="center"/>
    </xf>
    <xf numFmtId="2" fontId="113" fillId="0" borderId="31" xfId="710" applyNumberFormat="1" applyFont="1" applyBorder="1" applyAlignment="1">
      <alignment horizontal="center" vertical="center"/>
    </xf>
    <xf numFmtId="0" fontId="112" fillId="91" borderId="40" xfId="710" applyFont="1" applyFill="1" applyBorder="1" applyAlignment="1">
      <alignment horizontal="center" vertical="center" wrapText="1"/>
    </xf>
    <xf numFmtId="2" fontId="112" fillId="91" borderId="40" xfId="710" applyNumberFormat="1" applyFont="1" applyFill="1" applyBorder="1" applyAlignment="1">
      <alignment horizontal="center" vertical="center" wrapText="1"/>
    </xf>
    <xf numFmtId="0" fontId="113" fillId="0" borderId="50" xfId="710" applyFont="1" applyBorder="1" applyAlignment="1">
      <alignment vertical="center" wrapText="1"/>
    </xf>
    <xf numFmtId="0" fontId="112" fillId="2" borderId="40" xfId="710" applyFont="1" applyFill="1" applyBorder="1" applyAlignment="1">
      <alignment horizontal="center" vertical="center" wrapText="1"/>
    </xf>
    <xf numFmtId="2" fontId="112" fillId="2" borderId="40" xfId="710" applyNumberFormat="1" applyFont="1" applyFill="1" applyBorder="1" applyAlignment="1">
      <alignment horizontal="center" vertical="center" wrapText="1"/>
    </xf>
    <xf numFmtId="49" fontId="7" fillId="0" borderId="0" xfId="710" applyNumberFormat="1" applyFont="1" applyAlignment="1">
      <alignment vertical="center"/>
    </xf>
    <xf numFmtId="10" fontId="4" fillId="0" borderId="73" xfId="2" applyNumberFormat="1" applyFont="1" applyBorder="1"/>
    <xf numFmtId="10" fontId="4" fillId="0" borderId="110" xfId="2" applyNumberFormat="1" applyFont="1" applyBorder="1"/>
    <xf numFmtId="10" fontId="4" fillId="0" borderId="113" xfId="2" applyNumberFormat="1" applyFont="1" applyBorder="1"/>
    <xf numFmtId="10" fontId="4" fillId="0" borderId="133" xfId="2" applyNumberFormat="1" applyFont="1" applyBorder="1"/>
    <xf numFmtId="10" fontId="4" fillId="0" borderId="111" xfId="2" applyNumberFormat="1" applyFont="1" applyBorder="1"/>
    <xf numFmtId="165" fontId="2" fillId="0" borderId="0" xfId="0" applyNumberFormat="1" applyFont="1"/>
    <xf numFmtId="0" fontId="2" fillId="0" borderId="0" xfId="0" applyFont="1" applyFill="1" applyBorder="1" applyAlignment="1">
      <alignment wrapText="1"/>
    </xf>
    <xf numFmtId="0" fontId="102" fillId="87" borderId="0" xfId="0" applyFont="1" applyFill="1" applyBorder="1" applyAlignment="1"/>
    <xf numFmtId="0" fontId="7" fillId="86" borderId="35" xfId="0" applyFont="1" applyFill="1" applyBorder="1"/>
    <xf numFmtId="0" fontId="4" fillId="86" borderId="36" xfId="0" applyFont="1" applyFill="1" applyBorder="1"/>
    <xf numFmtId="0" fontId="7" fillId="86" borderId="38" xfId="0" applyFont="1" applyFill="1" applyBorder="1"/>
    <xf numFmtId="0" fontId="4" fillId="86" borderId="0" xfId="0" applyFont="1" applyFill="1" applyBorder="1"/>
    <xf numFmtId="0" fontId="7" fillId="86" borderId="18" xfId="0" applyFont="1" applyFill="1" applyBorder="1"/>
    <xf numFmtId="0" fontId="4" fillId="86" borderId="50" xfId="0" applyFont="1" applyFill="1" applyBorder="1" applyAlignment="1">
      <alignment horizontal="center"/>
    </xf>
    <xf numFmtId="0" fontId="4" fillId="86" borderId="50" xfId="0" applyFont="1" applyFill="1" applyBorder="1"/>
    <xf numFmtId="0" fontId="7" fillId="86" borderId="110" xfId="0" applyFont="1" applyFill="1" applyBorder="1" applyAlignment="1">
      <alignment horizontal="left"/>
    </xf>
    <xf numFmtId="0" fontId="4" fillId="0" borderId="111" xfId="0" applyFont="1" applyFill="1" applyBorder="1" applyAlignment="1">
      <alignment horizontal="left"/>
    </xf>
    <xf numFmtId="0" fontId="7" fillId="0" borderId="72" xfId="0" applyFont="1" applyFill="1" applyBorder="1" applyAlignment="1">
      <alignment vertical="center"/>
    </xf>
    <xf numFmtId="0" fontId="7" fillId="0" borderId="72" xfId="0" applyFont="1" applyFill="1" applyBorder="1"/>
    <xf numFmtId="0" fontId="7" fillId="0" borderId="72" xfId="2194" applyFont="1" applyFill="1" applyBorder="1" applyAlignment="1">
      <alignment horizontal="center" vertical="center" wrapText="1"/>
    </xf>
    <xf numFmtId="0" fontId="7" fillId="0" borderId="72" xfId="0" applyFont="1" applyFill="1" applyBorder="1" applyAlignment="1">
      <alignment horizontal="left" vertical="center" wrapText="1"/>
    </xf>
    <xf numFmtId="0" fontId="7" fillId="0" borderId="72" xfId="2194" applyFont="1" applyFill="1" applyBorder="1" applyAlignment="1">
      <alignment horizontal="center" vertical="center"/>
    </xf>
    <xf numFmtId="0" fontId="7" fillId="0" borderId="72" xfId="0" applyFont="1" applyFill="1" applyBorder="1" applyAlignment="1">
      <alignment horizontal="center" vertical="center"/>
    </xf>
    <xf numFmtId="0" fontId="4" fillId="0" borderId="72" xfId="0" applyFont="1" applyFill="1" applyBorder="1" applyAlignment="1">
      <alignment vertical="center"/>
    </xf>
    <xf numFmtId="0" fontId="4" fillId="0" borderId="72" xfId="2194" applyFont="1" applyFill="1" applyBorder="1" applyAlignment="1">
      <alignment horizontal="left" vertical="center" wrapText="1"/>
    </xf>
    <xf numFmtId="0" fontId="4" fillId="0" borderId="72" xfId="0" applyFont="1" applyFill="1" applyBorder="1" applyAlignment="1">
      <alignment horizontal="left" vertical="center" wrapText="1"/>
    </xf>
    <xf numFmtId="0" fontId="4" fillId="0" borderId="72" xfId="2194" applyFont="1" applyFill="1" applyBorder="1" applyAlignment="1">
      <alignment horizontal="center" vertical="center"/>
    </xf>
    <xf numFmtId="43" fontId="4" fillId="0" borderId="72" xfId="1" applyFont="1" applyFill="1" applyBorder="1" applyAlignment="1">
      <alignment horizontal="center" vertical="center"/>
    </xf>
    <xf numFmtId="43" fontId="4" fillId="0" borderId="72" xfId="0" applyNumberFormat="1" applyFont="1" applyFill="1" applyBorder="1" applyAlignment="1">
      <alignment horizontal="left" vertical="center"/>
    </xf>
    <xf numFmtId="4" fontId="4" fillId="0" borderId="72" xfId="2194" applyNumberFormat="1" applyFont="1" applyFill="1" applyBorder="1" applyAlignment="1">
      <alignment horizontal="left" vertical="center" wrapText="1"/>
    </xf>
    <xf numFmtId="0" fontId="4" fillId="0" borderId="72" xfId="0" applyFont="1" applyFill="1" applyBorder="1"/>
    <xf numFmtId="43" fontId="7" fillId="0" borderId="72" xfId="0" applyNumberFormat="1" applyFont="1" applyFill="1" applyBorder="1" applyAlignment="1">
      <alignment horizontal="center" vertical="center"/>
    </xf>
    <xf numFmtId="4" fontId="7" fillId="0" borderId="72" xfId="0" applyNumberFormat="1" applyFont="1" applyFill="1" applyBorder="1" applyAlignment="1">
      <alignment horizontal="center" vertical="center"/>
    </xf>
    <xf numFmtId="0" fontId="7" fillId="0" borderId="72" xfId="0" applyFont="1" applyFill="1" applyBorder="1" applyAlignment="1">
      <alignment horizontal="left" vertical="center"/>
    </xf>
    <xf numFmtId="0" fontId="7" fillId="0" borderId="113" xfId="0" applyFont="1" applyFill="1" applyBorder="1" applyAlignment="1">
      <alignment horizontal="center" vertical="center"/>
    </xf>
    <xf numFmtId="4" fontId="4" fillId="0" borderId="113" xfId="2194" applyNumberFormat="1" applyFont="1" applyFill="1" applyBorder="1" applyAlignment="1">
      <alignment horizontal="left" vertical="center" wrapText="1"/>
    </xf>
    <xf numFmtId="4" fontId="7" fillId="0" borderId="113" xfId="0" applyNumberFormat="1" applyFont="1" applyFill="1" applyBorder="1" applyAlignment="1">
      <alignment horizontal="center" vertical="center"/>
    </xf>
    <xf numFmtId="0" fontId="7" fillId="0" borderId="72" xfId="2194" applyFont="1" applyFill="1" applyBorder="1" applyAlignment="1">
      <alignment horizontal="left" vertical="center" wrapText="1"/>
    </xf>
    <xf numFmtId="0" fontId="4" fillId="0" borderId="72" xfId="0" applyFont="1" applyFill="1" applyBorder="1" applyAlignment="1">
      <alignment horizontal="left"/>
    </xf>
    <xf numFmtId="0" fontId="4" fillId="0" borderId="72" xfId="0" applyFont="1" applyFill="1" applyBorder="1" applyAlignment="1">
      <alignment horizontal="center"/>
    </xf>
    <xf numFmtId="2" fontId="4" fillId="0" borderId="72" xfId="0" applyNumberFormat="1" applyFont="1" applyFill="1" applyBorder="1" applyAlignment="1">
      <alignment horizontal="right"/>
    </xf>
    <xf numFmtId="169" fontId="4" fillId="0" borderId="72" xfId="1941" applyFont="1" applyFill="1" applyBorder="1" applyAlignment="1">
      <alignment horizontal="center" vertical="center"/>
    </xf>
    <xf numFmtId="169" fontId="7" fillId="0" borderId="72" xfId="1941" applyFont="1" applyFill="1" applyBorder="1" applyAlignment="1">
      <alignment horizontal="center" vertical="center"/>
    </xf>
    <xf numFmtId="4" fontId="4" fillId="0" borderId="72" xfId="2194" applyNumberFormat="1" applyFont="1" applyFill="1" applyBorder="1" applyAlignment="1">
      <alignment horizontal="center" vertical="center" wrapText="1"/>
    </xf>
    <xf numFmtId="0" fontId="4" fillId="0" borderId="72" xfId="0" applyFont="1" applyFill="1" applyBorder="1" applyAlignment="1">
      <alignment horizontal="left" wrapText="1"/>
    </xf>
    <xf numFmtId="0" fontId="4" fillId="0" borderId="72" xfId="0" applyFont="1" applyFill="1" applyBorder="1" applyAlignment="1">
      <alignment horizontal="right"/>
    </xf>
    <xf numFmtId="0" fontId="4" fillId="0" borderId="72" xfId="1574" applyFont="1" applyFill="1" applyBorder="1" applyAlignment="1">
      <alignment wrapText="1"/>
    </xf>
    <xf numFmtId="0" fontId="4" fillId="0" borderId="0" xfId="0" applyFont="1" applyFill="1"/>
    <xf numFmtId="199" fontId="4" fillId="0" borderId="72" xfId="0" applyNumberFormat="1" applyFont="1" applyFill="1" applyBorder="1" applyAlignment="1">
      <alignment horizontal="left"/>
    </xf>
    <xf numFmtId="4" fontId="4" fillId="0" borderId="72" xfId="0" applyNumberFormat="1" applyFont="1" applyFill="1" applyBorder="1" applyAlignment="1">
      <alignment horizontal="center" vertical="center"/>
    </xf>
    <xf numFmtId="0" fontId="4" fillId="0" borderId="72" xfId="1574" applyFont="1" applyFill="1" applyBorder="1"/>
    <xf numFmtId="0" fontId="7" fillId="0" borderId="25" xfId="0" applyFont="1" applyFill="1" applyBorder="1"/>
    <xf numFmtId="0" fontId="4" fillId="0" borderId="72" xfId="1574" applyFont="1" applyFill="1" applyBorder="1" applyAlignment="1">
      <alignment horizontal="center" vertical="center" wrapText="1"/>
    </xf>
    <xf numFmtId="0" fontId="4" fillId="0" borderId="72" xfId="1574" applyFont="1" applyFill="1" applyBorder="1" applyAlignment="1">
      <alignment horizontal="center" vertical="center"/>
    </xf>
    <xf numFmtId="169" fontId="7" fillId="0" borderId="72" xfId="0" applyNumberFormat="1" applyFont="1" applyFill="1" applyBorder="1" applyAlignment="1">
      <alignment horizontal="right"/>
    </xf>
    <xf numFmtId="0" fontId="4" fillId="0" borderId="25" xfId="0" applyFont="1" applyFill="1" applyBorder="1" applyAlignment="1"/>
    <xf numFmtId="0" fontId="90" fillId="0" borderId="23" xfId="0" applyFont="1" applyBorder="1" applyAlignment="1"/>
    <xf numFmtId="0" fontId="4" fillId="0" borderId="72" xfId="0" applyFont="1" applyFill="1" applyBorder="1" applyAlignment="1">
      <alignment horizontal="center" vertical="center"/>
    </xf>
    <xf numFmtId="4" fontId="4" fillId="0" borderId="72" xfId="2194" applyNumberFormat="1" applyFont="1" applyFill="1" applyBorder="1" applyAlignment="1">
      <alignment horizontal="center" vertical="center"/>
    </xf>
    <xf numFmtId="4" fontId="49" fillId="0" borderId="72" xfId="2194" applyNumberFormat="1" applyFont="1" applyFill="1" applyBorder="1" applyAlignment="1">
      <alignment horizontal="center" vertical="center"/>
    </xf>
    <xf numFmtId="4" fontId="48" fillId="0" borderId="72" xfId="2194" applyNumberFormat="1" applyFont="1" applyFill="1" applyBorder="1" applyAlignment="1">
      <alignment horizontal="center" vertical="center"/>
    </xf>
    <xf numFmtId="0" fontId="7" fillId="0" borderId="109" xfId="0" applyFont="1" applyFill="1" applyBorder="1" applyAlignment="1">
      <alignment vertical="center" wrapText="1"/>
    </xf>
    <xf numFmtId="0" fontId="7" fillId="0" borderId="109" xfId="0" applyFont="1" applyFill="1" applyBorder="1" applyAlignment="1">
      <alignment wrapText="1"/>
    </xf>
    <xf numFmtId="0" fontId="7" fillId="0" borderId="109" xfId="0" applyFont="1" applyFill="1" applyBorder="1" applyAlignment="1">
      <alignment horizontal="center" vertical="center" wrapText="1"/>
    </xf>
    <xf numFmtId="0" fontId="4" fillId="0" borderId="109" xfId="0" applyFont="1" applyFill="1" applyBorder="1" applyAlignment="1">
      <alignment vertical="center" wrapText="1"/>
    </xf>
    <xf numFmtId="0" fontId="4" fillId="0" borderId="109" xfId="0" applyFont="1" applyFill="1" applyBorder="1" applyAlignment="1">
      <alignment horizontal="left" vertical="center" wrapText="1"/>
    </xf>
    <xf numFmtId="0" fontId="4" fillId="0" borderId="109" xfId="0" applyFont="1" applyFill="1" applyBorder="1" applyAlignment="1">
      <alignment wrapText="1"/>
    </xf>
    <xf numFmtId="0" fontId="4" fillId="0" borderId="109" xfId="0" applyFont="1" applyFill="1" applyBorder="1" applyAlignment="1">
      <alignment horizontal="center" vertical="center" wrapText="1"/>
    </xf>
    <xf numFmtId="43" fontId="4" fillId="0" borderId="109" xfId="1" applyFont="1" applyFill="1" applyBorder="1" applyAlignment="1">
      <alignment horizontal="center" vertical="center" wrapText="1"/>
    </xf>
    <xf numFmtId="0" fontId="4" fillId="0" borderId="109" xfId="0" applyFont="1" applyFill="1" applyBorder="1" applyAlignment="1">
      <alignment horizontal="left" wrapText="1"/>
    </xf>
    <xf numFmtId="0" fontId="118" fillId="0" borderId="109" xfId="0" applyFont="1" applyBorder="1" applyAlignment="1">
      <alignment horizontal="center" vertical="center" wrapText="1"/>
    </xf>
    <xf numFmtId="0" fontId="4" fillId="0" borderId="0" xfId="0" applyFont="1" applyFill="1" applyBorder="1" applyAlignment="1">
      <alignment wrapText="1"/>
    </xf>
    <xf numFmtId="0" fontId="7" fillId="0" borderId="0" xfId="0" applyFont="1" applyFill="1" applyBorder="1" applyAlignment="1">
      <alignment wrapText="1"/>
    </xf>
    <xf numFmtId="0" fontId="7"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118" fillId="0" borderId="0" xfId="0" applyFont="1" applyBorder="1" applyAlignment="1">
      <alignment horizontal="center" vertical="center" wrapText="1"/>
    </xf>
    <xf numFmtId="0" fontId="4" fillId="0" borderId="72" xfId="2194" applyFont="1" applyFill="1" applyBorder="1" applyAlignment="1">
      <alignment vertical="center" wrapText="1"/>
    </xf>
    <xf numFmtId="43" fontId="4" fillId="0" borderId="72" xfId="1" applyFont="1" applyFill="1" applyBorder="1" applyAlignment="1">
      <alignment horizontal="left" vertical="center"/>
    </xf>
    <xf numFmtId="0" fontId="4" fillId="0" borderId="110" xfId="2194" applyFont="1" applyFill="1" applyBorder="1" applyAlignment="1">
      <alignment horizontal="center" vertical="center" wrapText="1"/>
    </xf>
    <xf numFmtId="43" fontId="7" fillId="0" borderId="72" xfId="0" applyNumberFormat="1" applyFont="1" applyFill="1" applyBorder="1" applyAlignment="1">
      <alignment horizontal="left" vertical="center"/>
    </xf>
    <xf numFmtId="4" fontId="7" fillId="0" borderId="72" xfId="0" applyNumberFormat="1" applyFont="1" applyFill="1" applyBorder="1" applyAlignment="1">
      <alignment horizontal="left" vertical="center"/>
    </xf>
    <xf numFmtId="0" fontId="4" fillId="0" borderId="25" xfId="0" applyFont="1" applyFill="1" applyBorder="1" applyAlignment="1">
      <alignment horizontal="left"/>
    </xf>
    <xf numFmtId="0" fontId="90" fillId="0" borderId="23" xfId="0" applyFont="1" applyFill="1" applyBorder="1" applyAlignment="1">
      <alignment horizontal="left"/>
    </xf>
    <xf numFmtId="0" fontId="7" fillId="0" borderId="110" xfId="0" applyFont="1" applyFill="1" applyBorder="1" applyAlignment="1">
      <alignment horizontal="left" vertical="center"/>
    </xf>
    <xf numFmtId="0" fontId="7" fillId="0" borderId="110" xfId="2194" applyFont="1" applyFill="1" applyBorder="1" applyAlignment="1">
      <alignment horizontal="center" vertical="center" wrapText="1"/>
    </xf>
    <xf numFmtId="0" fontId="7" fillId="0" borderId="110" xfId="0" applyFont="1" applyFill="1" applyBorder="1" applyAlignment="1">
      <alignment horizontal="left" vertical="center" wrapText="1"/>
    </xf>
    <xf numFmtId="0" fontId="7" fillId="0" borderId="110" xfId="0" applyFont="1" applyFill="1" applyBorder="1" applyAlignment="1">
      <alignment horizontal="center" vertical="center"/>
    </xf>
    <xf numFmtId="0" fontId="4" fillId="0" borderId="110" xfId="0" applyFont="1" applyFill="1" applyBorder="1" applyAlignment="1">
      <alignment horizontal="left"/>
    </xf>
    <xf numFmtId="4" fontId="4" fillId="0" borderId="110" xfId="0" applyNumberFormat="1" applyFont="1" applyFill="1" applyBorder="1" applyAlignment="1">
      <alignment horizontal="left"/>
    </xf>
    <xf numFmtId="2" fontId="4" fillId="0" borderId="110" xfId="0" applyNumberFormat="1" applyFont="1" applyFill="1" applyBorder="1" applyAlignment="1">
      <alignment horizontal="center" vertical="center" wrapText="1"/>
    </xf>
    <xf numFmtId="4" fontId="4" fillId="0" borderId="112" xfId="0" applyNumberFormat="1" applyFont="1" applyFill="1" applyBorder="1" applyAlignment="1">
      <alignment horizontal="left"/>
    </xf>
    <xf numFmtId="198" fontId="4" fillId="0" borderId="110" xfId="0" applyNumberFormat="1" applyFont="1" applyFill="1" applyBorder="1" applyAlignment="1">
      <alignment horizontal="center" vertical="center" wrapText="1"/>
    </xf>
    <xf numFmtId="0" fontId="4" fillId="0" borderId="110" xfId="0" applyFont="1" applyFill="1" applyBorder="1" applyAlignment="1">
      <alignment vertical="center"/>
    </xf>
    <xf numFmtId="0" fontId="4" fillId="0" borderId="112" xfId="0" applyFont="1" applyFill="1" applyBorder="1" applyAlignment="1">
      <alignment horizontal="left"/>
    </xf>
    <xf numFmtId="2" fontId="4" fillId="0" borderId="110" xfId="1941" applyNumberFormat="1" applyFont="1" applyFill="1" applyBorder="1" applyAlignment="1">
      <alignment horizontal="center" wrapText="1"/>
    </xf>
    <xf numFmtId="0" fontId="4" fillId="0" borderId="50" xfId="0" applyFont="1" applyFill="1" applyBorder="1"/>
    <xf numFmtId="0" fontId="4" fillId="0" borderId="19" xfId="0" applyFont="1" applyFill="1" applyBorder="1"/>
    <xf numFmtId="0" fontId="7" fillId="0" borderId="50" xfId="0" applyFont="1" applyFill="1" applyBorder="1"/>
    <xf numFmtId="0" fontId="7" fillId="0" borderId="7" xfId="0" applyFont="1" applyFill="1" applyBorder="1" applyAlignment="1">
      <alignment horizontal="center" vertical="center"/>
    </xf>
    <xf numFmtId="0" fontId="7" fillId="0" borderId="50" xfId="0" applyFont="1" applyFill="1" applyBorder="1" applyAlignment="1">
      <alignment horizontal="center" vertical="center"/>
    </xf>
    <xf numFmtId="0" fontId="7" fillId="0" borderId="19" xfId="0" applyFont="1" applyFill="1" applyBorder="1" applyAlignment="1">
      <alignment horizontal="center" vertical="center"/>
    </xf>
    <xf numFmtId="4" fontId="7" fillId="0" borderId="7" xfId="0" applyNumberFormat="1" applyFont="1" applyFill="1" applyBorder="1" applyAlignment="1">
      <alignment horizontal="center" vertical="center"/>
    </xf>
    <xf numFmtId="0" fontId="4" fillId="0" borderId="0" xfId="0" applyFont="1" applyFill="1" applyAlignment="1">
      <alignment horizontal="right"/>
    </xf>
    <xf numFmtId="0" fontId="4" fillId="0" borderId="111" xfId="0" applyFont="1" applyFill="1" applyBorder="1" applyAlignment="1"/>
    <xf numFmtId="0" fontId="90" fillId="0" borderId="112" xfId="0" applyFont="1" applyBorder="1" applyAlignment="1"/>
    <xf numFmtId="0" fontId="4" fillId="0" borderId="0" xfId="0" applyFont="1" applyFill="1" applyBorder="1" applyAlignment="1">
      <alignment horizontal="left"/>
    </xf>
    <xf numFmtId="0" fontId="4" fillId="0" borderId="0" xfId="0" applyFont="1" applyFill="1" applyBorder="1" applyAlignment="1"/>
    <xf numFmtId="0" fontId="90" fillId="0" borderId="0" xfId="0" applyFont="1" applyBorder="1" applyAlignment="1"/>
    <xf numFmtId="0" fontId="4" fillId="0" borderId="113" xfId="0" applyFont="1" applyFill="1" applyBorder="1" applyAlignment="1">
      <alignment horizontal="left"/>
    </xf>
    <xf numFmtId="0" fontId="7" fillId="0" borderId="110" xfId="0" applyFont="1" applyFill="1" applyBorder="1"/>
    <xf numFmtId="0" fontId="7" fillId="0" borderId="72" xfId="0" applyFont="1" applyFill="1" applyBorder="1" applyAlignment="1">
      <alignment vertical="center" wrapText="1"/>
    </xf>
    <xf numFmtId="0" fontId="4" fillId="0" borderId="110" xfId="2194" applyFont="1" applyFill="1" applyBorder="1" applyAlignment="1">
      <alignment horizontal="left" vertical="center" wrapText="1"/>
    </xf>
    <xf numFmtId="169" fontId="4" fillId="0" borderId="110" xfId="1941" applyFont="1" applyFill="1" applyBorder="1" applyAlignment="1">
      <alignment horizontal="center"/>
    </xf>
    <xf numFmtId="171" fontId="4" fillId="0" borderId="114" xfId="0" applyNumberFormat="1" applyFont="1" applyFill="1" applyBorder="1" applyAlignment="1">
      <alignment horizontal="left" vertical="center"/>
    </xf>
    <xf numFmtId="1" fontId="4" fillId="0" borderId="114" xfId="0" applyNumberFormat="1" applyFont="1" applyFill="1" applyBorder="1" applyAlignment="1">
      <alignment horizontal="left" vertical="center"/>
    </xf>
    <xf numFmtId="0" fontId="4" fillId="0" borderId="110" xfId="0" applyFont="1" applyFill="1" applyBorder="1"/>
    <xf numFmtId="0" fontId="4" fillId="0" borderId="7" xfId="0" applyFont="1" applyFill="1" applyBorder="1" applyAlignment="1">
      <alignment horizontal="center" vertical="center"/>
    </xf>
    <xf numFmtId="0" fontId="4" fillId="0" borderId="110" xfId="0" applyFont="1" applyFill="1" applyBorder="1" applyAlignment="1">
      <alignment wrapText="1"/>
    </xf>
    <xf numFmtId="0" fontId="4" fillId="0" borderId="0" xfId="0" applyFont="1" applyFill="1" applyAlignment="1">
      <alignment horizontal="left"/>
    </xf>
    <xf numFmtId="0" fontId="4" fillId="0" borderId="114" xfId="0" applyFont="1" applyFill="1" applyBorder="1" applyAlignment="1">
      <alignment horizontal="left"/>
    </xf>
    <xf numFmtId="0" fontId="4" fillId="0" borderId="112" xfId="0" applyFont="1" applyFill="1" applyBorder="1"/>
    <xf numFmtId="171" fontId="4" fillId="0" borderId="110" xfId="0" applyNumberFormat="1" applyFont="1" applyFill="1" applyBorder="1" applyAlignment="1">
      <alignment horizontal="left" vertical="center"/>
    </xf>
    <xf numFmtId="0" fontId="4" fillId="0" borderId="19" xfId="0" applyFont="1" applyFill="1" applyBorder="1" applyAlignment="1">
      <alignment horizontal="left"/>
    </xf>
    <xf numFmtId="0" fontId="4" fillId="0" borderId="72" xfId="0" applyFont="1" applyFill="1" applyBorder="1" applyAlignment="1">
      <alignment vertical="center" wrapText="1"/>
    </xf>
    <xf numFmtId="0" fontId="4" fillId="0" borderId="110" xfId="0" applyFont="1" applyFill="1" applyBorder="1" applyAlignment="1">
      <alignment horizontal="left" vertical="center"/>
    </xf>
    <xf numFmtId="0" fontId="4" fillId="0" borderId="110" xfId="1574" applyFont="1" applyFill="1" applyBorder="1" applyAlignment="1">
      <alignment horizontal="center" vertical="center"/>
    </xf>
    <xf numFmtId="0" fontId="4" fillId="0" borderId="110" xfId="0" applyFont="1" applyFill="1" applyBorder="1" applyAlignment="1">
      <alignment horizontal="left" vertical="center" wrapText="1"/>
    </xf>
    <xf numFmtId="0" fontId="4" fillId="0" borderId="112" xfId="0" applyFont="1" applyFill="1" applyBorder="1" applyAlignment="1">
      <alignment horizontal="left" vertical="center" wrapText="1"/>
    </xf>
    <xf numFmtId="0" fontId="7" fillId="0" borderId="72" xfId="0" applyFont="1" applyFill="1" applyBorder="1" applyAlignment="1">
      <alignment wrapText="1"/>
    </xf>
    <xf numFmtId="0" fontId="4" fillId="0" borderId="110" xfId="1574" applyFont="1" applyFill="1" applyBorder="1" applyAlignment="1">
      <alignment horizontal="right" vertical="center"/>
    </xf>
    <xf numFmtId="0" fontId="4" fillId="0" borderId="112" xfId="0" applyFont="1" applyBorder="1" applyAlignment="1"/>
    <xf numFmtId="4" fontId="7" fillId="0" borderId="0" xfId="0" applyNumberFormat="1" applyFont="1" applyFill="1" applyBorder="1" applyAlignment="1">
      <alignment horizontal="center" vertical="center" wrapText="1"/>
    </xf>
    <xf numFmtId="4" fontId="7" fillId="0" borderId="0" xfId="0" applyNumberFormat="1" applyFont="1" applyBorder="1" applyAlignment="1">
      <alignment horizontal="center" vertical="center" wrapText="1"/>
    </xf>
    <xf numFmtId="4" fontId="118" fillId="0" borderId="0" xfId="0" applyNumberFormat="1" applyFont="1" applyBorder="1" applyAlignment="1">
      <alignment horizontal="center" vertical="center" wrapText="1"/>
    </xf>
    <xf numFmtId="169" fontId="4" fillId="0" borderId="114" xfId="1941" applyFont="1" applyFill="1" applyBorder="1" applyAlignment="1">
      <alignment horizontal="right" vertical="center"/>
    </xf>
    <xf numFmtId="0" fontId="4" fillId="0" borderId="113" xfId="0" applyFont="1" applyFill="1" applyBorder="1" applyAlignment="1">
      <alignment horizontal="center" vertical="center"/>
    </xf>
    <xf numFmtId="0" fontId="4" fillId="0" borderId="112" xfId="0" applyFont="1" applyFill="1" applyBorder="1" applyAlignment="1">
      <alignment horizontal="center" vertical="center"/>
    </xf>
    <xf numFmtId="169" fontId="7" fillId="0" borderId="112" xfId="0" applyNumberFormat="1" applyFont="1" applyFill="1" applyBorder="1" applyAlignment="1">
      <alignment horizontal="center" vertical="center"/>
    </xf>
    <xf numFmtId="0" fontId="4" fillId="0" borderId="114" xfId="0" applyFont="1" applyFill="1" applyBorder="1" applyAlignment="1">
      <alignment horizontal="center" vertical="center"/>
    </xf>
    <xf numFmtId="0" fontId="4" fillId="0" borderId="111" xfId="0" applyFont="1" applyFill="1" applyBorder="1" applyAlignment="1">
      <alignment horizontal="center" vertical="center"/>
    </xf>
    <xf numFmtId="0" fontId="4" fillId="0" borderId="110" xfId="0" applyFont="1" applyFill="1" applyBorder="1" applyAlignment="1">
      <alignment vertical="center" wrapText="1"/>
    </xf>
    <xf numFmtId="169" fontId="7" fillId="0" borderId="112" xfId="1941" applyFont="1" applyFill="1" applyBorder="1" applyAlignment="1">
      <alignment horizontal="center" vertical="center"/>
    </xf>
    <xf numFmtId="0" fontId="4" fillId="0" borderId="115" xfId="0" applyFont="1" applyFill="1" applyBorder="1" applyAlignment="1"/>
    <xf numFmtId="0" fontId="7" fillId="0" borderId="72" xfId="2183" applyFont="1" applyFill="1" applyBorder="1" applyAlignment="1">
      <alignment horizontal="justify" vertical="center" wrapText="1"/>
    </xf>
    <xf numFmtId="0" fontId="7" fillId="0" borderId="72" xfId="0" applyFont="1" applyFill="1" applyBorder="1" applyAlignment="1">
      <alignment horizontal="justify" vertical="center" wrapText="1"/>
    </xf>
    <xf numFmtId="0" fontId="4" fillId="0" borderId="72" xfId="2183" applyFont="1" applyFill="1" applyBorder="1" applyAlignment="1">
      <alignment horizontal="justify" vertical="center" wrapText="1"/>
    </xf>
    <xf numFmtId="2" fontId="4" fillId="0" borderId="72" xfId="0" applyNumberFormat="1" applyFont="1" applyFill="1" applyBorder="1" applyAlignment="1">
      <alignment horizontal="center" vertical="center" wrapText="1"/>
    </xf>
    <xf numFmtId="197" fontId="4" fillId="0" borderId="108" xfId="0" applyNumberFormat="1" applyFont="1" applyFill="1" applyBorder="1" applyAlignment="1">
      <alignment horizontal="center" vertical="center" wrapText="1"/>
    </xf>
    <xf numFmtId="4" fontId="4" fillId="0" borderId="109" xfId="2194" applyNumberFormat="1" applyFont="1" applyFill="1" applyBorder="1" applyAlignment="1">
      <alignment horizontal="center" vertical="center" wrapText="1"/>
    </xf>
    <xf numFmtId="2" fontId="4" fillId="0" borderId="110" xfId="1574" applyNumberFormat="1" applyFont="1" applyFill="1" applyBorder="1" applyAlignment="1">
      <alignment horizontal="center" vertical="center"/>
    </xf>
    <xf numFmtId="2" fontId="7" fillId="0" borderId="109" xfId="0" applyNumberFormat="1" applyFont="1" applyFill="1" applyBorder="1" applyAlignment="1">
      <alignment horizontal="center" wrapText="1"/>
    </xf>
    <xf numFmtId="0" fontId="7" fillId="0" borderId="110" xfId="0" applyFont="1" applyFill="1" applyBorder="1" applyAlignment="1">
      <alignment horizontal="left"/>
    </xf>
    <xf numFmtId="0" fontId="4" fillId="0" borderId="72" xfId="0" applyFont="1" applyFill="1" applyBorder="1" applyAlignment="1">
      <alignment horizontal="justify" vertical="center" wrapText="1"/>
    </xf>
    <xf numFmtId="0" fontId="7" fillId="0" borderId="72" xfId="0" applyFont="1" applyFill="1" applyBorder="1" applyAlignment="1">
      <alignment horizontal="left"/>
    </xf>
    <xf numFmtId="0" fontId="7" fillId="0" borderId="72" xfId="0" applyFont="1" applyFill="1" applyBorder="1" applyAlignment="1"/>
    <xf numFmtId="0" fontId="4" fillId="0" borderId="72" xfId="0" applyFont="1" applyFill="1" applyBorder="1" applyAlignment="1"/>
    <xf numFmtId="2" fontId="4" fillId="0" borderId="0" xfId="0" applyNumberFormat="1" applyFont="1" applyFill="1" applyAlignment="1">
      <alignment horizontal="center"/>
    </xf>
    <xf numFmtId="4" fontId="4" fillId="0" borderId="72" xfId="2194" applyNumberFormat="1" applyFont="1" applyFill="1" applyBorder="1" applyAlignment="1">
      <alignment horizontal="right" vertical="center" wrapText="1"/>
    </xf>
    <xf numFmtId="4" fontId="4" fillId="0" borderId="72" xfId="2194" applyNumberFormat="1" applyFont="1" applyFill="1" applyBorder="1" applyAlignment="1">
      <alignment wrapText="1"/>
    </xf>
    <xf numFmtId="196" fontId="4" fillId="0" borderId="108" xfId="0" applyNumberFormat="1" applyFont="1" applyFill="1" applyBorder="1" applyAlignment="1">
      <alignment horizontal="center" vertical="center" wrapText="1"/>
    </xf>
    <xf numFmtId="169" fontId="4" fillId="0" borderId="72" xfId="1941" applyFont="1" applyFill="1" applyBorder="1" applyAlignment="1">
      <alignment horizontal="right" vertical="center"/>
    </xf>
    <xf numFmtId="0" fontId="4" fillId="0" borderId="50" xfId="0" applyFont="1" applyFill="1" applyBorder="1" applyAlignment="1">
      <alignment horizontal="left"/>
    </xf>
    <xf numFmtId="0" fontId="4" fillId="0" borderId="50" xfId="0" applyFont="1" applyFill="1" applyBorder="1" applyAlignment="1"/>
    <xf numFmtId="0" fontId="7" fillId="0" borderId="7" xfId="0" applyFont="1" applyFill="1" applyBorder="1" applyAlignment="1">
      <alignment horizontal="left"/>
    </xf>
    <xf numFmtId="0" fontId="7" fillId="0" borderId="50" xfId="0" applyFont="1" applyFill="1" applyBorder="1" applyAlignment="1">
      <alignment horizontal="left"/>
    </xf>
    <xf numFmtId="0" fontId="7" fillId="0" borderId="19" xfId="0" applyFont="1" applyFill="1" applyBorder="1" applyAlignment="1">
      <alignment horizontal="left"/>
    </xf>
    <xf numFmtId="4" fontId="7" fillId="0" borderId="7" xfId="0" applyNumberFormat="1" applyFont="1" applyFill="1" applyBorder="1" applyAlignment="1">
      <alignment horizontal="right"/>
    </xf>
    <xf numFmtId="0" fontId="4" fillId="0" borderId="107" xfId="0" applyFont="1" applyFill="1" applyBorder="1" applyAlignment="1">
      <alignment horizontal="left" vertical="top" wrapText="1"/>
    </xf>
    <xf numFmtId="4" fontId="7" fillId="0" borderId="7" xfId="0" applyNumberFormat="1" applyFont="1" applyFill="1" applyBorder="1" applyAlignment="1">
      <alignment horizontal="center"/>
    </xf>
    <xf numFmtId="169" fontId="4" fillId="0" borderId="110" xfId="1941" applyFont="1" applyFill="1" applyBorder="1" applyAlignment="1">
      <alignment vertical="center"/>
    </xf>
    <xf numFmtId="0" fontId="4" fillId="0" borderId="0" xfId="0" applyFont="1" applyFill="1" applyBorder="1"/>
    <xf numFmtId="0" fontId="7" fillId="0" borderId="110" xfId="0" applyFont="1" applyFill="1" applyBorder="1" applyAlignment="1">
      <alignment horizontal="center" vertical="center" wrapText="1"/>
    </xf>
    <xf numFmtId="0" fontId="118" fillId="0" borderId="110" xfId="0" applyFont="1" applyBorder="1" applyAlignment="1">
      <alignment horizontal="center" vertical="center" wrapText="1"/>
    </xf>
    <xf numFmtId="169" fontId="7" fillId="0" borderId="110" xfId="1941" applyFont="1" applyFill="1" applyBorder="1" applyAlignment="1">
      <alignment horizontal="center" vertical="center"/>
    </xf>
    <xf numFmtId="0" fontId="4" fillId="0" borderId="7" xfId="0" applyFont="1" applyFill="1" applyBorder="1" applyAlignment="1">
      <alignment horizontal="left"/>
    </xf>
    <xf numFmtId="169" fontId="7" fillId="0" borderId="110" xfId="0" applyNumberFormat="1" applyFont="1" applyFill="1" applyBorder="1" applyAlignment="1">
      <alignment horizontal="center" vertical="center"/>
    </xf>
    <xf numFmtId="0" fontId="4" fillId="0" borderId="17" xfId="0" applyFont="1" applyFill="1" applyBorder="1" applyAlignment="1">
      <alignment horizontal="left" vertical="top" wrapText="1"/>
    </xf>
    <xf numFmtId="43" fontId="4" fillId="0" borderId="72" xfId="0" applyNumberFormat="1" applyFont="1" applyFill="1" applyBorder="1" applyAlignment="1">
      <alignment horizontal="center" vertical="center"/>
    </xf>
    <xf numFmtId="171" fontId="4" fillId="0" borderId="115" xfId="0" applyNumberFormat="1" applyFont="1" applyFill="1" applyBorder="1" applyAlignment="1">
      <alignment horizontal="left" vertical="center"/>
    </xf>
    <xf numFmtId="0" fontId="7" fillId="0" borderId="114" xfId="0" applyFont="1" applyFill="1" applyBorder="1" applyAlignment="1">
      <alignment horizontal="center" vertical="center"/>
    </xf>
    <xf numFmtId="0" fontId="4" fillId="0" borderId="110" xfId="0" applyFont="1" applyFill="1" applyBorder="1" applyAlignment="1"/>
    <xf numFmtId="0" fontId="4" fillId="0" borderId="113" xfId="0" applyFont="1" applyFill="1" applyBorder="1"/>
    <xf numFmtId="169" fontId="7" fillId="0" borderId="50" xfId="0" applyNumberFormat="1" applyFont="1" applyFill="1" applyBorder="1" applyAlignment="1">
      <alignment horizontal="center" vertical="center"/>
    </xf>
    <xf numFmtId="0" fontId="7" fillId="0" borderId="110" xfId="0" applyFont="1" applyFill="1" applyBorder="1" applyAlignment="1">
      <alignment vertical="center"/>
    </xf>
    <xf numFmtId="200" fontId="4" fillId="0" borderId="72" xfId="1941" applyNumberFormat="1" applyFont="1" applyFill="1" applyBorder="1" applyAlignment="1">
      <alignment horizontal="center" vertical="center"/>
    </xf>
    <xf numFmtId="43" fontId="7" fillId="0" borderId="19" xfId="0" applyNumberFormat="1" applyFont="1" applyFill="1" applyBorder="1" applyAlignment="1">
      <alignment horizontal="center" vertical="center"/>
    </xf>
    <xf numFmtId="2" fontId="4" fillId="0" borderId="110" xfId="1941" applyNumberFormat="1" applyFont="1" applyFill="1" applyBorder="1" applyAlignment="1">
      <alignment horizontal="center"/>
    </xf>
    <xf numFmtId="0" fontId="4" fillId="0" borderId="122" xfId="0" applyFont="1" applyFill="1" applyBorder="1"/>
    <xf numFmtId="0" fontId="4" fillId="0" borderId="122" xfId="0" applyFont="1" applyFill="1" applyBorder="1" applyAlignment="1">
      <alignment horizontal="left"/>
    </xf>
    <xf numFmtId="0" fontId="4" fillId="0" borderId="122" xfId="0" applyFont="1" applyFill="1" applyBorder="1" applyAlignment="1"/>
    <xf numFmtId="0" fontId="90" fillId="0" borderId="122" xfId="0" applyFont="1" applyBorder="1" applyAlignment="1"/>
    <xf numFmtId="0" fontId="4" fillId="0" borderId="0" xfId="0" applyFont="1" applyFill="1" applyAlignment="1">
      <alignment wrapText="1"/>
    </xf>
    <xf numFmtId="0" fontId="90" fillId="0" borderId="72" xfId="1574" applyFont="1" applyFill="1" applyBorder="1" applyAlignment="1">
      <alignment horizontal="center" vertical="center" wrapText="1"/>
    </xf>
    <xf numFmtId="0" fontId="90" fillId="0" borderId="72" xfId="1574" applyFont="1" applyFill="1" applyBorder="1" applyAlignment="1">
      <alignment horizontal="center" vertical="center"/>
    </xf>
    <xf numFmtId="0" fontId="90" fillId="0" borderId="72" xfId="0" applyFont="1" applyFill="1" applyBorder="1" applyAlignment="1">
      <alignment horizontal="right"/>
    </xf>
    <xf numFmtId="0" fontId="90" fillId="0" borderId="25" xfId="0" applyFont="1" applyFill="1" applyBorder="1" applyAlignment="1"/>
    <xf numFmtId="0" fontId="4" fillId="86" borderId="36" xfId="0" applyFont="1" applyFill="1" applyBorder="1" applyAlignment="1">
      <alignment horizontal="center" vertical="center"/>
    </xf>
    <xf numFmtId="0" fontId="4" fillId="86" borderId="100" xfId="0" applyFont="1" applyFill="1" applyBorder="1" applyAlignment="1">
      <alignment horizontal="center" vertical="center"/>
    </xf>
    <xf numFmtId="0" fontId="4" fillId="86" borderId="0" xfId="0" applyFont="1" applyFill="1" applyBorder="1" applyAlignment="1">
      <alignment horizontal="center" vertical="center"/>
    </xf>
    <xf numFmtId="0" fontId="4" fillId="86" borderId="101" xfId="0" applyFont="1" applyFill="1" applyBorder="1" applyAlignment="1">
      <alignment horizontal="center" vertical="center"/>
    </xf>
    <xf numFmtId="0" fontId="4" fillId="86" borderId="50" xfId="0" applyFont="1" applyFill="1" applyBorder="1" applyAlignment="1">
      <alignment horizontal="center" vertical="center"/>
    </xf>
    <xf numFmtId="0" fontId="4" fillId="86" borderId="19" xfId="0" applyFont="1" applyFill="1" applyBorder="1" applyAlignment="1">
      <alignment horizontal="center" vertical="center"/>
    </xf>
    <xf numFmtId="0" fontId="7" fillId="0" borderId="72" xfId="0" applyFont="1" applyFill="1" applyBorder="1" applyAlignment="1">
      <alignment horizontal="center" vertical="center" wrapText="1"/>
    </xf>
    <xf numFmtId="0" fontId="4" fillId="0" borderId="0" xfId="1574" applyFont="1" applyFill="1" applyBorder="1" applyAlignment="1">
      <alignment wrapText="1"/>
    </xf>
    <xf numFmtId="0" fontId="4" fillId="0" borderId="0" xfId="1574" applyFont="1" applyFill="1" applyBorder="1"/>
    <xf numFmtId="0" fontId="4" fillId="0" borderId="0" xfId="1574" applyFont="1" applyFill="1" applyBorder="1" applyAlignment="1">
      <alignment horizontal="center" vertical="center" wrapText="1"/>
    </xf>
    <xf numFmtId="0" fontId="4" fillId="0" borderId="0" xfId="1574" applyFont="1" applyFill="1" applyBorder="1" applyAlignment="1">
      <alignment horizontal="center" vertical="center"/>
    </xf>
    <xf numFmtId="4" fontId="7" fillId="0" borderId="0" xfId="0" applyNumberFormat="1" applyFont="1" applyFill="1" applyBorder="1" applyAlignment="1">
      <alignment horizontal="center" vertical="center"/>
    </xf>
    <xf numFmtId="0" fontId="4" fillId="0" borderId="72" xfId="0" applyFont="1" applyFill="1" applyBorder="1" applyAlignment="1">
      <alignment horizontal="center" vertical="center" wrapText="1"/>
    </xf>
    <xf numFmtId="0" fontId="4" fillId="0" borderId="116" xfId="0" applyFont="1" applyFill="1" applyBorder="1" applyAlignment="1">
      <alignment wrapText="1"/>
    </xf>
    <xf numFmtId="0" fontId="4" fillId="0" borderId="116" xfId="0" applyFont="1" applyFill="1" applyBorder="1" applyAlignment="1">
      <alignment vertical="center" wrapText="1"/>
    </xf>
    <xf numFmtId="0" fontId="79" fillId="0" borderId="116" xfId="0" applyFont="1" applyBorder="1" applyAlignment="1">
      <alignment vertical="center" wrapText="1"/>
    </xf>
    <xf numFmtId="0" fontId="7" fillId="0" borderId="109" xfId="2194" applyFont="1" applyFill="1" applyBorder="1" applyAlignment="1">
      <alignment horizontal="center" vertical="center"/>
    </xf>
    <xf numFmtId="2" fontId="4" fillId="0" borderId="72" xfId="1574" applyNumberFormat="1" applyFont="1" applyFill="1" applyBorder="1" applyAlignment="1">
      <alignment wrapText="1"/>
    </xf>
    <xf numFmtId="43" fontId="4" fillId="0" borderId="72" xfId="2187" applyNumberFormat="1" applyFont="1" applyFill="1" applyBorder="1" applyAlignment="1">
      <alignment horizontal="center" vertical="center" wrapText="1"/>
    </xf>
    <xf numFmtId="4" fontId="4" fillId="0" borderId="72" xfId="1574" applyNumberFormat="1" applyFont="1" applyFill="1" applyBorder="1" applyAlignment="1">
      <alignment horizontal="center" vertical="center"/>
    </xf>
    <xf numFmtId="0" fontId="90" fillId="0" borderId="0" xfId="0" applyFont="1" applyFill="1" applyBorder="1" applyAlignment="1">
      <alignment horizontal="left"/>
    </xf>
    <xf numFmtId="4" fontId="7" fillId="0" borderId="110" xfId="0" applyNumberFormat="1" applyFont="1" applyFill="1" applyBorder="1" applyAlignment="1">
      <alignment horizontal="left" wrapText="1"/>
    </xf>
    <xf numFmtId="199" fontId="4" fillId="0" borderId="110" xfId="0" applyNumberFormat="1" applyFont="1" applyFill="1" applyBorder="1" applyAlignment="1">
      <alignment horizontal="center" vertical="center" wrapText="1"/>
    </xf>
    <xf numFmtId="2" fontId="4" fillId="0" borderId="110" xfId="1" applyNumberFormat="1" applyFont="1" applyFill="1" applyBorder="1" applyAlignment="1">
      <alignment horizontal="center"/>
    </xf>
    <xf numFmtId="4" fontId="7" fillId="0" borderId="72" xfId="0" applyNumberFormat="1" applyFont="1" applyFill="1" applyBorder="1" applyAlignment="1">
      <alignment horizontal="left" wrapText="1"/>
    </xf>
    <xf numFmtId="4" fontId="4" fillId="0" borderId="72" xfId="0" applyNumberFormat="1" applyFont="1" applyFill="1" applyBorder="1" applyAlignment="1">
      <alignment horizontal="left"/>
    </xf>
    <xf numFmtId="0" fontId="4" fillId="0" borderId="23" xfId="0" applyFont="1" applyFill="1" applyBorder="1" applyAlignment="1">
      <alignment horizontal="left"/>
    </xf>
    <xf numFmtId="199" fontId="4" fillId="0" borderId="72" xfId="0" applyNumberFormat="1" applyFont="1" applyFill="1" applyBorder="1" applyAlignment="1">
      <alignment horizontal="center" vertical="center" wrapText="1"/>
    </xf>
    <xf numFmtId="2" fontId="4" fillId="0" borderId="72" xfId="1941" applyNumberFormat="1" applyFont="1" applyFill="1" applyBorder="1" applyAlignment="1">
      <alignment horizontal="center"/>
    </xf>
    <xf numFmtId="0" fontId="4" fillId="0" borderId="72" xfId="0" applyFont="1" applyFill="1" applyBorder="1" applyAlignment="1">
      <alignment horizontal="justify" vertical="center"/>
    </xf>
    <xf numFmtId="2" fontId="4" fillId="0" borderId="72" xfId="1941" applyNumberFormat="1" applyFont="1" applyFill="1" applyBorder="1" applyAlignment="1">
      <alignment horizontal="center" vertical="center"/>
    </xf>
    <xf numFmtId="0" fontId="7" fillId="0" borderId="110" xfId="0" applyFont="1" applyFill="1" applyBorder="1" applyAlignment="1">
      <alignment vertical="center" wrapText="1"/>
    </xf>
    <xf numFmtId="0" fontId="4" fillId="0" borderId="110" xfId="0" applyFont="1" applyFill="1" applyBorder="1" applyAlignment="1">
      <alignment horizontal="left" wrapText="1"/>
    </xf>
    <xf numFmtId="2" fontId="4" fillId="0" borderId="110" xfId="2194" applyNumberFormat="1" applyFont="1" applyFill="1" applyBorder="1" applyAlignment="1">
      <alignment horizontal="center" vertical="center" wrapText="1"/>
    </xf>
    <xf numFmtId="0" fontId="4" fillId="0" borderId="112" xfId="0" applyFont="1" applyFill="1" applyBorder="1" applyAlignment="1">
      <alignment vertical="center" wrapText="1"/>
    </xf>
    <xf numFmtId="0" fontId="4" fillId="0" borderId="25" xfId="70" applyFont="1" applyFill="1" applyBorder="1" applyAlignment="1">
      <alignment wrapText="1"/>
    </xf>
    <xf numFmtId="2" fontId="4" fillId="0" borderId="72" xfId="0" applyNumberFormat="1" applyFont="1" applyFill="1" applyBorder="1" applyAlignment="1">
      <alignment horizontal="center" vertical="center"/>
    </xf>
    <xf numFmtId="4" fontId="4" fillId="0" borderId="0" xfId="0" applyNumberFormat="1" applyFont="1" applyFill="1" applyAlignment="1">
      <alignment horizontal="center" vertical="center"/>
    </xf>
    <xf numFmtId="4" fontId="4" fillId="0" borderId="17" xfId="2194" applyNumberFormat="1" applyFont="1" applyFill="1" applyBorder="1" applyAlignment="1">
      <alignment horizontal="center" vertical="center" wrapText="1"/>
    </xf>
    <xf numFmtId="0" fontId="4" fillId="0" borderId="72" xfId="2194" applyFont="1" applyFill="1" applyBorder="1" applyAlignment="1">
      <alignment horizontal="center" vertical="center" wrapText="1"/>
    </xf>
    <xf numFmtId="0" fontId="4" fillId="0" borderId="21" xfId="0" applyFont="1" applyFill="1" applyBorder="1"/>
    <xf numFmtId="0" fontId="4" fillId="0" borderId="25" xfId="0" applyFont="1" applyFill="1" applyBorder="1"/>
    <xf numFmtId="0" fontId="4" fillId="0" borderId="23" xfId="0" applyFont="1" applyFill="1" applyBorder="1"/>
    <xf numFmtId="0" fontId="7" fillId="0" borderId="25" xfId="0" applyFont="1" applyFill="1" applyBorder="1" applyAlignment="1">
      <alignment horizontal="center" vertical="center"/>
    </xf>
    <xf numFmtId="0" fontId="7" fillId="0" borderId="23" xfId="0" applyFont="1" applyFill="1" applyBorder="1" applyAlignment="1">
      <alignment horizontal="center" vertical="center"/>
    </xf>
    <xf numFmtId="0" fontId="7" fillId="0" borderId="0" xfId="0" applyFont="1" applyFill="1" applyBorder="1"/>
    <xf numFmtId="0" fontId="4" fillId="0" borderId="0" xfId="0" applyFont="1" applyFill="1" applyBorder="1" applyAlignment="1">
      <alignment horizontal="center" vertical="center"/>
    </xf>
    <xf numFmtId="169" fontId="7" fillId="0" borderId="0" xfId="0" applyNumberFormat="1" applyFont="1" applyFill="1" applyBorder="1" applyAlignment="1">
      <alignment horizontal="center" vertical="center"/>
    </xf>
    <xf numFmtId="4" fontId="7" fillId="0" borderId="50" xfId="0" applyNumberFormat="1" applyFont="1" applyFill="1" applyBorder="1" applyAlignment="1">
      <alignment horizontal="center" vertical="center"/>
    </xf>
    <xf numFmtId="0" fontId="4" fillId="0" borderId="72" xfId="0" quotePrefix="1" applyFont="1" applyFill="1" applyBorder="1" applyAlignment="1">
      <alignment vertical="center"/>
    </xf>
    <xf numFmtId="2" fontId="4" fillId="0" borderId="72" xfId="1574" applyNumberFormat="1" applyFont="1" applyFill="1" applyBorder="1" applyAlignment="1">
      <alignment horizontal="center" vertical="center"/>
    </xf>
    <xf numFmtId="0" fontId="7" fillId="0" borderId="0" xfId="0" applyFont="1" applyFill="1" applyBorder="1" applyAlignment="1">
      <alignment horizontal="center" vertical="center"/>
    </xf>
    <xf numFmtId="171" fontId="4" fillId="0" borderId="17" xfId="0" applyNumberFormat="1" applyFont="1" applyFill="1" applyBorder="1" applyAlignment="1">
      <alignment horizontal="center" vertical="center"/>
    </xf>
    <xf numFmtId="169" fontId="4" fillId="0" borderId="17" xfId="1941" applyFont="1" applyFill="1" applyBorder="1" applyAlignment="1">
      <alignment horizontal="center" vertical="center"/>
    </xf>
    <xf numFmtId="169" fontId="7" fillId="0" borderId="100" xfId="1941" applyFont="1" applyFill="1" applyBorder="1" applyAlignment="1">
      <alignment horizontal="center" vertical="center"/>
    </xf>
    <xf numFmtId="169" fontId="4" fillId="0" borderId="72" xfId="1941" applyFont="1" applyFill="1" applyBorder="1" applyAlignment="1">
      <alignment horizontal="right"/>
    </xf>
    <xf numFmtId="171" fontId="4" fillId="0" borderId="72" xfId="0" applyNumberFormat="1" applyFont="1" applyFill="1" applyBorder="1" applyAlignment="1">
      <alignment horizontal="center" vertical="center"/>
    </xf>
    <xf numFmtId="0" fontId="4" fillId="0" borderId="72" xfId="0" applyFont="1" applyFill="1" applyBorder="1" applyAlignment="1">
      <alignment wrapText="1"/>
    </xf>
    <xf numFmtId="4" fontId="4" fillId="0" borderId="108" xfId="0" applyNumberFormat="1" applyFont="1" applyFill="1" applyBorder="1" applyAlignment="1">
      <alignment horizontal="center" vertical="center" wrapText="1"/>
    </xf>
    <xf numFmtId="4" fontId="4" fillId="0" borderId="72" xfId="0" applyNumberFormat="1" applyFont="1" applyFill="1" applyBorder="1" applyAlignment="1">
      <alignment horizontal="left" wrapText="1"/>
    </xf>
    <xf numFmtId="4" fontId="4" fillId="0" borderId="21" xfId="0" applyNumberFormat="1" applyFont="1" applyFill="1" applyBorder="1" applyAlignment="1">
      <alignment horizontal="left" wrapText="1"/>
    </xf>
    <xf numFmtId="0" fontId="7" fillId="0" borderId="19" xfId="0" applyFont="1" applyFill="1" applyBorder="1" applyAlignment="1">
      <alignment horizontal="right" vertical="center"/>
    </xf>
    <xf numFmtId="4" fontId="7" fillId="0" borderId="7" xfId="0" applyNumberFormat="1" applyFont="1" applyFill="1" applyBorder="1" applyAlignment="1">
      <alignment horizontal="left" vertical="center"/>
    </xf>
    <xf numFmtId="198" fontId="4" fillId="0" borderId="72" xfId="0" applyNumberFormat="1" applyFont="1" applyFill="1" applyBorder="1" applyAlignment="1">
      <alignment horizontal="center" vertical="center" wrapText="1"/>
    </xf>
    <xf numFmtId="0" fontId="4" fillId="0" borderId="72" xfId="1574" applyFont="1" applyFill="1" applyBorder="1" applyAlignment="1">
      <alignment horizontal="left"/>
    </xf>
    <xf numFmtId="197" fontId="4" fillId="0" borderId="72" xfId="1574" applyNumberFormat="1" applyFont="1" applyFill="1" applyBorder="1" applyAlignment="1">
      <alignment horizontal="center" vertical="center"/>
    </xf>
    <xf numFmtId="0" fontId="7" fillId="0" borderId="72" xfId="1574" applyFont="1" applyFill="1" applyBorder="1" applyAlignment="1">
      <alignment horizontal="center" vertical="center" wrapText="1"/>
    </xf>
    <xf numFmtId="0" fontId="4" fillId="0" borderId="72" xfId="0" applyFont="1" applyFill="1" applyBorder="1" applyAlignment="1" applyProtection="1">
      <alignment horizontal="justify" vertical="justify" wrapText="1"/>
    </xf>
    <xf numFmtId="0" fontId="7" fillId="0" borderId="110" xfId="0" applyFont="1" applyFill="1" applyBorder="1" applyAlignment="1">
      <alignment horizontal="left" vertical="top" wrapText="1"/>
    </xf>
    <xf numFmtId="0" fontId="4" fillId="0" borderId="110" xfId="0" applyFont="1" applyFill="1" applyBorder="1" applyAlignment="1">
      <alignment horizontal="left" vertical="top" wrapText="1"/>
    </xf>
    <xf numFmtId="0" fontId="7" fillId="0" borderId="17" xfId="0" applyFont="1" applyFill="1" applyBorder="1" applyAlignment="1">
      <alignment horizontal="left" vertical="top" wrapText="1"/>
    </xf>
    <xf numFmtId="169" fontId="4" fillId="0" borderId="72" xfId="1941" applyFont="1" applyFill="1" applyBorder="1" applyAlignment="1">
      <alignment horizontal="center"/>
    </xf>
    <xf numFmtId="0" fontId="7" fillId="0" borderId="110" xfId="0" applyFont="1" applyFill="1" applyBorder="1" applyAlignment="1">
      <alignment wrapText="1"/>
    </xf>
    <xf numFmtId="4" fontId="7" fillId="0" borderId="19" xfId="0" applyNumberFormat="1" applyFont="1" applyFill="1" applyBorder="1" applyAlignment="1">
      <alignment horizontal="center" vertical="center"/>
    </xf>
    <xf numFmtId="0" fontId="90" fillId="0" borderId="0" xfId="0" applyFont="1" applyFill="1"/>
    <xf numFmtId="4" fontId="0" fillId="0" borderId="0" xfId="1" applyNumberFormat="1" applyFont="1" applyFill="1" applyBorder="1" applyAlignment="1">
      <alignment horizontal="center" vertical="center" wrapText="1"/>
    </xf>
    <xf numFmtId="43" fontId="30" fillId="0" borderId="0" xfId="1" applyFont="1" applyFill="1"/>
    <xf numFmtId="0" fontId="106" fillId="0" borderId="136" xfId="0" applyFont="1" applyFill="1" applyBorder="1" applyAlignment="1">
      <alignment horizontal="left" vertical="top" wrapText="1"/>
    </xf>
    <xf numFmtId="0" fontId="106" fillId="0" borderId="136" xfId="0" applyFont="1" applyFill="1" applyBorder="1" applyAlignment="1">
      <alignment horizontal="center" vertical="top" wrapText="1"/>
    </xf>
    <xf numFmtId="0" fontId="106" fillId="0" borderId="136" xfId="0" applyFont="1" applyFill="1" applyBorder="1" applyAlignment="1">
      <alignment horizontal="right" vertical="top" wrapText="1"/>
    </xf>
    <xf numFmtId="0" fontId="94" fillId="0" borderId="110" xfId="727" applyFont="1" applyBorder="1"/>
    <xf numFmtId="0" fontId="119" fillId="0" borderId="110" xfId="0" applyFont="1" applyFill="1" applyBorder="1" applyAlignment="1">
      <alignment horizontal="left" vertical="top" wrapText="1"/>
    </xf>
    <xf numFmtId="0" fontId="119" fillId="0" borderId="110" xfId="0" applyFont="1" applyFill="1" applyBorder="1" applyAlignment="1">
      <alignment horizontal="center" vertical="top" wrapText="1"/>
    </xf>
    <xf numFmtId="0" fontId="119" fillId="0" borderId="110" xfId="0" applyFont="1" applyFill="1" applyBorder="1" applyAlignment="1">
      <alignment horizontal="right" vertical="top" wrapText="1"/>
    </xf>
    <xf numFmtId="0" fontId="96" fillId="94" borderId="0" xfId="727" applyFont="1" applyFill="1"/>
    <xf numFmtId="0" fontId="96" fillId="94" borderId="110" xfId="727" applyFont="1" applyFill="1" applyBorder="1"/>
    <xf numFmtId="0" fontId="96" fillId="94" borderId="110" xfId="727" applyFont="1" applyFill="1" applyBorder="1" applyAlignment="1">
      <alignment wrapText="1"/>
    </xf>
    <xf numFmtId="4" fontId="96" fillId="94" borderId="110" xfId="727" applyNumberFormat="1" applyFont="1" applyFill="1" applyBorder="1" applyAlignment="1">
      <alignment wrapText="1"/>
    </xf>
    <xf numFmtId="4" fontId="96" fillId="94" borderId="110" xfId="727" applyNumberFormat="1" applyFont="1" applyFill="1" applyBorder="1"/>
    <xf numFmtId="0" fontId="7" fillId="95" borderId="110" xfId="0" applyFont="1" applyFill="1" applyBorder="1" applyAlignment="1">
      <alignment vertical="top" wrapText="1"/>
    </xf>
    <xf numFmtId="0" fontId="77" fillId="0" borderId="110" xfId="727" applyFill="1" applyBorder="1"/>
    <xf numFmtId="165" fontId="119" fillId="0" borderId="110" xfId="2197" applyFont="1" applyFill="1" applyBorder="1" applyAlignment="1">
      <alignment horizontal="right" vertical="top" wrapText="1"/>
    </xf>
    <xf numFmtId="165" fontId="77" fillId="0" borderId="110" xfId="2197" applyFont="1" applyFill="1" applyBorder="1"/>
    <xf numFmtId="0" fontId="0" fillId="0" borderId="110" xfId="0" applyBorder="1" applyAlignment="1">
      <alignment wrapText="1"/>
    </xf>
    <xf numFmtId="0" fontId="4" fillId="0" borderId="7" xfId="2194" applyFont="1" applyFill="1" applyBorder="1" applyAlignment="1">
      <alignment horizontal="center" vertical="center" wrapText="1"/>
    </xf>
    <xf numFmtId="2" fontId="4" fillId="0" borderId="50" xfId="0" applyNumberFormat="1" applyFont="1" applyFill="1" applyBorder="1" applyAlignment="1">
      <alignment horizontal="center" vertical="center"/>
    </xf>
    <xf numFmtId="0" fontId="99" fillId="0" borderId="110" xfId="0" applyFont="1" applyFill="1" applyBorder="1" applyAlignment="1" applyProtection="1">
      <alignment horizontal="justify" vertical="justify" wrapText="1"/>
    </xf>
    <xf numFmtId="0" fontId="120" fillId="0" borderId="0" xfId="0" applyFont="1" applyAlignment="1">
      <alignment horizontal="right"/>
    </xf>
    <xf numFmtId="0" fontId="2" fillId="0" borderId="137" xfId="0" applyFont="1" applyBorder="1"/>
    <xf numFmtId="0" fontId="2" fillId="0" borderId="138" xfId="0" applyFont="1" applyBorder="1"/>
    <xf numFmtId="0" fontId="121" fillId="0" borderId="27" xfId="0" applyFont="1" applyBorder="1" applyAlignment="1">
      <alignment horizontal="center" vertical="center"/>
    </xf>
    <xf numFmtId="0" fontId="121" fillId="0" borderId="29" xfId="0" applyFont="1" applyBorder="1" applyAlignment="1">
      <alignment horizontal="center" vertical="center"/>
    </xf>
    <xf numFmtId="0" fontId="0" fillId="0" borderId="137" xfId="0" applyBorder="1"/>
    <xf numFmtId="202" fontId="0" fillId="0" borderId="138" xfId="0" applyNumberFormat="1" applyBorder="1"/>
    <xf numFmtId="165" fontId="122" fillId="98" borderId="42" xfId="2197" applyFont="1" applyFill="1" applyBorder="1" applyAlignment="1">
      <alignment horizontal="right" vertical="center" wrapText="1"/>
    </xf>
    <xf numFmtId="165" fontId="123" fillId="99" borderId="139" xfId="2197" applyFont="1" applyFill="1" applyBorder="1" applyAlignment="1">
      <alignment horizontal="center" vertical="center" wrapText="1"/>
    </xf>
    <xf numFmtId="4" fontId="123" fillId="100" borderId="140" xfId="2197" applyNumberFormat="1" applyFont="1" applyFill="1" applyBorder="1" applyAlignment="1">
      <alignment horizontal="center" vertical="center" wrapText="1"/>
    </xf>
    <xf numFmtId="165" fontId="123" fillId="100" borderId="141" xfId="2197" applyFont="1" applyFill="1" applyBorder="1" applyAlignment="1">
      <alignment horizontal="center" vertical="center" wrapText="1"/>
    </xf>
    <xf numFmtId="165" fontId="123" fillId="101" borderId="139" xfId="2197" applyFont="1" applyFill="1" applyBorder="1" applyAlignment="1">
      <alignment horizontal="center" vertical="center" wrapText="1"/>
    </xf>
    <xf numFmtId="203" fontId="123" fillId="102" borderId="140" xfId="2197" applyNumberFormat="1" applyFont="1" applyFill="1" applyBorder="1" applyAlignment="1">
      <alignment horizontal="center" vertical="center" wrapText="1"/>
    </xf>
    <xf numFmtId="10" fontId="124" fillId="103" borderId="141" xfId="2" applyNumberFormat="1" applyFont="1" applyFill="1" applyBorder="1" applyAlignment="1">
      <alignment horizontal="center" vertical="center" wrapText="1"/>
    </xf>
    <xf numFmtId="171" fontId="0" fillId="0" borderId="137" xfId="0" applyNumberFormat="1" applyBorder="1"/>
    <xf numFmtId="165" fontId="122" fillId="98" borderId="142" xfId="2197" applyFont="1" applyFill="1" applyBorder="1" applyAlignment="1">
      <alignment horizontal="right" vertical="center" wrapText="1"/>
    </xf>
    <xf numFmtId="165" fontId="123" fillId="99" borderId="143" xfId="2197" applyFont="1" applyFill="1" applyBorder="1" applyAlignment="1">
      <alignment horizontal="center" vertical="center" wrapText="1"/>
    </xf>
    <xf numFmtId="4" fontId="123" fillId="100" borderId="144" xfId="2197" applyNumberFormat="1" applyFont="1" applyFill="1" applyBorder="1" applyAlignment="1">
      <alignment horizontal="center" vertical="center" wrapText="1"/>
    </xf>
    <xf numFmtId="165" fontId="123" fillId="100" borderId="145" xfId="2197" applyFont="1" applyFill="1" applyBorder="1" applyAlignment="1">
      <alignment horizontal="center" vertical="center" wrapText="1"/>
    </xf>
    <xf numFmtId="165" fontId="123" fillId="101" borderId="143" xfId="2197" applyFont="1" applyFill="1" applyBorder="1" applyAlignment="1">
      <alignment horizontal="center" vertical="center" wrapText="1"/>
    </xf>
    <xf numFmtId="203" fontId="123" fillId="102" borderId="144" xfId="2197" applyNumberFormat="1" applyFont="1" applyFill="1" applyBorder="1" applyAlignment="1">
      <alignment horizontal="center" vertical="center" wrapText="1"/>
    </xf>
    <xf numFmtId="10" fontId="124" fillId="103" borderId="145" xfId="2" applyNumberFormat="1" applyFont="1" applyFill="1" applyBorder="1" applyAlignment="1">
      <alignment horizontal="center" vertical="center" wrapText="1"/>
    </xf>
    <xf numFmtId="202" fontId="2" fillId="0" borderId="0" xfId="0" applyNumberFormat="1" applyFont="1"/>
    <xf numFmtId="0" fontId="0" fillId="97" borderId="39" xfId="0" applyFill="1" applyBorder="1" applyAlignment="1">
      <alignment horizontal="center" vertical="center"/>
    </xf>
    <xf numFmtId="0" fontId="0" fillId="97" borderId="41" xfId="0" applyFill="1" applyBorder="1" applyAlignment="1">
      <alignment horizontal="center" vertical="center"/>
    </xf>
    <xf numFmtId="0" fontId="121" fillId="0" borderId="27" xfId="0" applyFont="1" applyBorder="1" applyAlignment="1">
      <alignment horizontal="center" vertical="center" wrapText="1"/>
    </xf>
    <xf numFmtId="0" fontId="121" fillId="0" borderId="28" xfId="0" applyFont="1" applyBorder="1" applyAlignment="1">
      <alignment horizontal="center" vertical="center" wrapText="1"/>
    </xf>
    <xf numFmtId="0" fontId="121" fillId="0" borderId="29" xfId="0" applyFont="1" applyBorder="1" applyAlignment="1">
      <alignment horizontal="center" vertical="center" wrapText="1"/>
    </xf>
    <xf numFmtId="0" fontId="0" fillId="0" borderId="7" xfId="0" applyBorder="1" applyAlignment="1">
      <alignment wrapText="1"/>
    </xf>
    <xf numFmtId="0" fontId="2" fillId="0" borderId="106" xfId="0" applyFont="1" applyBorder="1" applyAlignment="1">
      <alignment horizontal="center" wrapText="1"/>
    </xf>
    <xf numFmtId="17" fontId="102" fillId="0" borderId="0" xfId="0" applyNumberFormat="1" applyFont="1" applyFill="1" applyBorder="1" applyAlignment="1">
      <alignment horizontal="left"/>
    </xf>
    <xf numFmtId="0" fontId="82" fillId="0" borderId="0" xfId="0" applyFont="1" applyFill="1" applyAlignment="1">
      <alignment horizontal="left"/>
    </xf>
    <xf numFmtId="0" fontId="2" fillId="0" borderId="110" xfId="0" applyFont="1" applyBorder="1" applyAlignment="1">
      <alignment horizontal="center" vertical="center"/>
    </xf>
    <xf numFmtId="43" fontId="2" fillId="0" borderId="110" xfId="1" applyFont="1" applyBorder="1" applyAlignment="1">
      <alignment horizontal="center" vertical="center" wrapText="1"/>
    </xf>
    <xf numFmtId="43" fontId="2" fillId="0" borderId="133" xfId="1" applyFont="1" applyBorder="1" applyAlignment="1">
      <alignment horizontal="center" vertical="center"/>
    </xf>
    <xf numFmtId="0" fontId="0" fillId="2" borderId="110" xfId="0" applyFont="1" applyFill="1" applyBorder="1"/>
    <xf numFmtId="10" fontId="1" fillId="2" borderId="133" xfId="2" applyNumberFormat="1" applyFont="1" applyFill="1" applyBorder="1"/>
    <xf numFmtId="0" fontId="0" fillId="2" borderId="110" xfId="0" applyFont="1" applyFill="1" applyBorder="1" applyAlignment="1">
      <alignment horizontal="left" vertical="center" wrapText="1"/>
    </xf>
    <xf numFmtId="4" fontId="1" fillId="2" borderId="110" xfId="1" applyNumberFormat="1" applyFont="1" applyFill="1" applyBorder="1" applyAlignment="1">
      <alignment horizontal="right" vertical="center" wrapText="1"/>
    </xf>
    <xf numFmtId="4" fontId="1" fillId="2" borderId="113" xfId="1" applyNumberFormat="1" applyFont="1" applyFill="1" applyBorder="1" applyAlignment="1">
      <alignment horizontal="right" vertical="center" wrapText="1"/>
    </xf>
    <xf numFmtId="10" fontId="1" fillId="2" borderId="133" xfId="2" applyNumberFormat="1" applyFont="1" applyFill="1" applyBorder="1" applyAlignment="1">
      <alignment horizontal="right" vertical="center" wrapText="1"/>
    </xf>
    <xf numFmtId="0" fontId="30" fillId="2" borderId="110" xfId="0" applyFont="1" applyFill="1" applyBorder="1" applyAlignment="1">
      <alignment horizontal="left" vertical="center" wrapText="1"/>
    </xf>
    <xf numFmtId="0" fontId="0" fillId="2" borderId="114" xfId="0" applyFont="1" applyFill="1" applyBorder="1" applyAlignment="1">
      <alignment horizontal="left" vertical="center" wrapText="1"/>
    </xf>
    <xf numFmtId="0" fontId="0" fillId="2" borderId="119" xfId="0" applyFont="1" applyFill="1" applyBorder="1" applyAlignment="1">
      <alignment horizontal="center" vertical="center" wrapText="1"/>
    </xf>
    <xf numFmtId="4" fontId="0" fillId="2" borderId="110" xfId="0" applyNumberFormat="1" applyFont="1" applyFill="1" applyBorder="1" applyAlignment="1">
      <alignment horizontal="right" vertical="center" wrapText="1"/>
    </xf>
    <xf numFmtId="10" fontId="1" fillId="2" borderId="133" xfId="1" applyNumberFormat="1" applyFont="1" applyFill="1" applyBorder="1"/>
    <xf numFmtId="0" fontId="0" fillId="2" borderId="4" xfId="0" applyFont="1" applyFill="1" applyBorder="1" applyAlignment="1">
      <alignment horizontal="center" vertical="center"/>
    </xf>
    <xf numFmtId="0" fontId="0" fillId="2" borderId="5" xfId="0" applyFont="1" applyFill="1" applyBorder="1"/>
    <xf numFmtId="43" fontId="1" fillId="2" borderId="5" xfId="1" applyFont="1" applyFill="1" applyBorder="1"/>
    <xf numFmtId="10" fontId="1" fillId="2" borderId="146" xfId="2" applyNumberFormat="1" applyFont="1" applyFill="1" applyBorder="1"/>
    <xf numFmtId="0" fontId="2" fillId="0" borderId="147" xfId="0" applyFont="1" applyBorder="1" applyAlignment="1">
      <alignment horizontal="center" wrapText="1"/>
    </xf>
    <xf numFmtId="0" fontId="2" fillId="0" borderId="148" xfId="0" applyFont="1" applyBorder="1" applyAlignment="1">
      <alignment horizontal="center" wrapText="1"/>
    </xf>
    <xf numFmtId="0" fontId="0" fillId="0" borderId="11" xfId="0" applyBorder="1" applyAlignment="1">
      <alignment wrapText="1"/>
    </xf>
    <xf numFmtId="0" fontId="0" fillId="0" borderId="151" xfId="0" applyBorder="1" applyAlignment="1">
      <alignment wrapText="1"/>
    </xf>
    <xf numFmtId="0" fontId="0" fillId="0" borderId="114" xfId="0" applyBorder="1" applyAlignment="1">
      <alignment wrapText="1"/>
    </xf>
    <xf numFmtId="0" fontId="82" fillId="0" borderId="17" xfId="0" applyFont="1" applyFill="1" applyBorder="1" applyAlignment="1">
      <alignment horizontal="justify" vertical="center" wrapText="1"/>
    </xf>
    <xf numFmtId="0" fontId="30" fillId="0" borderId="17" xfId="0" applyFont="1" applyFill="1" applyBorder="1" applyAlignment="1">
      <alignment horizontal="justify" vertical="center" wrapText="1"/>
    </xf>
    <xf numFmtId="10" fontId="4" fillId="0" borderId="24" xfId="2" applyNumberFormat="1" applyFont="1" applyBorder="1" applyAlignment="1">
      <alignment horizontal="center" vertical="center"/>
    </xf>
    <xf numFmtId="10" fontId="4" fillId="0" borderId="111" xfId="2" applyNumberFormat="1" applyFont="1" applyBorder="1" applyAlignment="1">
      <alignment horizontal="center" vertical="center"/>
    </xf>
    <xf numFmtId="10" fontId="4" fillId="0" borderId="110" xfId="2" applyNumberFormat="1" applyFont="1" applyBorder="1" applyAlignment="1">
      <alignment horizontal="center" vertical="center"/>
    </xf>
    <xf numFmtId="10" fontId="4" fillId="0" borderId="132" xfId="2" applyNumberFormat="1" applyFont="1" applyBorder="1" applyAlignment="1">
      <alignment horizontal="center" vertical="center"/>
    </xf>
    <xf numFmtId="4" fontId="99" fillId="0" borderId="112" xfId="1" applyNumberFormat="1" applyFont="1" applyFill="1" applyBorder="1" applyAlignment="1">
      <alignment horizontal="right" vertical="center" wrapText="1"/>
    </xf>
    <xf numFmtId="10" fontId="99" fillId="0" borderId="133" xfId="2" applyNumberFormat="1" applyFont="1" applyFill="1" applyBorder="1" applyAlignment="1">
      <alignment horizontal="right" vertical="center" wrapText="1"/>
    </xf>
    <xf numFmtId="0" fontId="99" fillId="0" borderId="149" xfId="0" applyFont="1" applyFill="1" applyBorder="1"/>
    <xf numFmtId="0" fontId="99" fillId="0" borderId="151" xfId="0" applyFont="1" applyFill="1" applyBorder="1" applyAlignment="1">
      <alignment horizontal="left" vertical="center" wrapText="1"/>
    </xf>
    <xf numFmtId="0" fontId="99" fillId="0" borderId="153" xfId="0" applyFont="1" applyFill="1" applyBorder="1" applyAlignment="1">
      <alignment horizontal="center" vertical="center" wrapText="1"/>
    </xf>
    <xf numFmtId="4" fontId="99" fillId="0" borderId="154" xfId="1" applyNumberFormat="1" applyFont="1" applyFill="1" applyBorder="1" applyAlignment="1">
      <alignment horizontal="right" vertical="center" wrapText="1"/>
    </xf>
    <xf numFmtId="4" fontId="99" fillId="0" borderId="151" xfId="1" applyNumberFormat="1" applyFont="1" applyFill="1" applyBorder="1" applyAlignment="1">
      <alignment horizontal="right" vertical="center" wrapText="1"/>
    </xf>
    <xf numFmtId="4" fontId="99" fillId="0" borderId="15" xfId="1" applyNumberFormat="1" applyFont="1" applyFill="1" applyBorder="1" applyAlignment="1">
      <alignment horizontal="right" vertical="center" wrapText="1"/>
    </xf>
    <xf numFmtId="10" fontId="99" fillId="0" borderId="152" xfId="2" applyNumberFormat="1" applyFont="1" applyFill="1" applyBorder="1" applyAlignment="1">
      <alignment horizontal="right" vertical="center" wrapText="1"/>
    </xf>
    <xf numFmtId="0" fontId="99" fillId="0" borderId="10" xfId="0" applyFont="1" applyFill="1" applyBorder="1"/>
    <xf numFmtId="0" fontId="99" fillId="0" borderId="11" xfId="0" applyFont="1" applyFill="1" applyBorder="1" applyAlignment="1">
      <alignment horizontal="left" vertical="center" wrapText="1"/>
    </xf>
    <xf numFmtId="0" fontId="99" fillId="0" borderId="11" xfId="0" applyFont="1" applyFill="1" applyBorder="1" applyAlignment="1">
      <alignment horizontal="center" vertical="center" wrapText="1"/>
    </xf>
    <xf numFmtId="2" fontId="99" fillId="0" borderId="11" xfId="0" applyNumberFormat="1" applyFont="1" applyFill="1" applyBorder="1" applyAlignment="1">
      <alignment horizontal="right" vertical="center" wrapText="1"/>
    </xf>
    <xf numFmtId="4" fontId="99" fillId="0" borderId="11" xfId="1" applyNumberFormat="1" applyFont="1" applyFill="1" applyBorder="1" applyAlignment="1">
      <alignment horizontal="right" vertical="center" wrapText="1"/>
    </xf>
    <xf numFmtId="4" fontId="99" fillId="0" borderId="103" xfId="1" applyNumberFormat="1" applyFont="1" applyFill="1" applyBorder="1" applyAlignment="1">
      <alignment horizontal="right" vertical="center" wrapText="1"/>
    </xf>
    <xf numFmtId="10" fontId="99" fillId="0" borderId="13" xfId="2" applyNumberFormat="1" applyFont="1" applyFill="1" applyBorder="1" applyAlignment="1">
      <alignment horizontal="right" vertical="center" wrapText="1"/>
    </xf>
    <xf numFmtId="0" fontId="99" fillId="0" borderId="150" xfId="0" applyFont="1" applyFill="1" applyBorder="1"/>
    <xf numFmtId="0" fontId="99" fillId="0" borderId="151" xfId="0" applyFont="1" applyFill="1" applyBorder="1" applyAlignment="1">
      <alignment horizontal="center" vertical="center" wrapText="1"/>
    </xf>
    <xf numFmtId="2" fontId="99" fillId="0" borderId="151" xfId="0" applyNumberFormat="1" applyFont="1" applyFill="1" applyBorder="1" applyAlignment="1">
      <alignment horizontal="right" vertical="center" wrapText="1"/>
    </xf>
    <xf numFmtId="4" fontId="101" fillId="0" borderId="9" xfId="0" applyNumberFormat="1" applyFont="1" applyFill="1" applyBorder="1" applyAlignment="1">
      <alignment horizontal="left" vertical="center"/>
    </xf>
    <xf numFmtId="0" fontId="99" fillId="0" borderId="105" xfId="0" applyFont="1" applyFill="1" applyBorder="1" applyAlignment="1">
      <alignment horizontal="left" vertical="center" wrapText="1"/>
    </xf>
    <xf numFmtId="0" fontId="99" fillId="0" borderId="105" xfId="0" applyFont="1" applyFill="1" applyBorder="1" applyAlignment="1">
      <alignment horizontal="center" vertical="center" wrapText="1"/>
    </xf>
    <xf numFmtId="2" fontId="99" fillId="0" borderId="105" xfId="0" applyNumberFormat="1" applyFont="1" applyFill="1" applyBorder="1" applyAlignment="1">
      <alignment horizontal="right" vertical="center" wrapText="1"/>
    </xf>
    <xf numFmtId="4" fontId="99" fillId="0" borderId="105" xfId="1" applyNumberFormat="1" applyFont="1" applyFill="1" applyBorder="1" applyAlignment="1">
      <alignment horizontal="right" vertical="center" wrapText="1"/>
    </xf>
    <xf numFmtId="4" fontId="99" fillId="0" borderId="121" xfId="1" applyNumberFormat="1" applyFont="1" applyFill="1" applyBorder="1" applyAlignment="1">
      <alignment horizontal="right" vertical="center" wrapText="1"/>
    </xf>
    <xf numFmtId="10" fontId="99" fillId="0" borderId="106" xfId="2" applyNumberFormat="1" applyFont="1" applyFill="1" applyBorder="1" applyAlignment="1">
      <alignment horizontal="right" vertical="center" wrapText="1"/>
    </xf>
    <xf numFmtId="0" fontId="99" fillId="0" borderId="10" xfId="0" applyFont="1" applyFill="1" applyBorder="1" applyAlignment="1">
      <alignment wrapText="1"/>
    </xf>
    <xf numFmtId="0" fontId="99" fillId="0" borderId="11" xfId="0" applyFont="1" applyFill="1" applyBorder="1" applyAlignment="1">
      <alignment vertical="center" wrapText="1"/>
    </xf>
    <xf numFmtId="4" fontId="99" fillId="0" borderId="104" xfId="1" applyNumberFormat="1" applyFont="1" applyFill="1" applyBorder="1" applyAlignment="1">
      <alignment horizontal="right" vertical="center" wrapText="1"/>
    </xf>
    <xf numFmtId="0" fontId="99" fillId="0" borderId="149" xfId="0" applyFont="1" applyFill="1" applyBorder="1" applyAlignment="1">
      <alignment wrapText="1"/>
    </xf>
    <xf numFmtId="0" fontId="99" fillId="0" borderId="150" xfId="0" applyFont="1" applyFill="1" applyBorder="1" applyAlignment="1">
      <alignment vertical="center" wrapText="1"/>
    </xf>
    <xf numFmtId="0" fontId="99" fillId="0" borderId="151" xfId="0" applyFont="1" applyFill="1" applyBorder="1" applyAlignment="1">
      <alignment vertical="center" wrapText="1"/>
    </xf>
    <xf numFmtId="4" fontId="101" fillId="0" borderId="9" xfId="0" applyNumberFormat="1" applyFont="1" applyFill="1" applyBorder="1" applyAlignment="1">
      <alignment horizontal="left"/>
    </xf>
    <xf numFmtId="0" fontId="99" fillId="0" borderId="103" xfId="0" applyFont="1" applyFill="1" applyBorder="1" applyAlignment="1">
      <alignment horizontal="center" vertical="center" wrapText="1"/>
    </xf>
    <xf numFmtId="0" fontId="99" fillId="0" borderId="149" xfId="0" applyFont="1" applyFill="1" applyBorder="1" applyAlignment="1">
      <alignment horizontal="left" vertical="center"/>
    </xf>
    <xf numFmtId="2" fontId="99" fillId="0" borderId="114" xfId="0" applyNumberFormat="1" applyFont="1" applyFill="1" applyBorder="1" applyAlignment="1">
      <alignment horizontal="right" vertical="center" wrapText="1"/>
    </xf>
    <xf numFmtId="0" fontId="99" fillId="0" borderId="150" xfId="0" applyFont="1" applyFill="1" applyBorder="1" applyAlignment="1">
      <alignment wrapText="1"/>
    </xf>
    <xf numFmtId="0" fontId="99" fillId="0" borderId="11" xfId="0" applyFont="1" applyBorder="1" applyAlignment="1">
      <alignment vertical="center" wrapText="1"/>
    </xf>
    <xf numFmtId="0" fontId="99" fillId="0" borderId="11" xfId="0" applyFont="1" applyBorder="1" applyAlignment="1">
      <alignment wrapText="1"/>
    </xf>
    <xf numFmtId="167" fontId="99" fillId="0" borderId="104" xfId="93" applyNumberFormat="1" applyFont="1" applyFill="1" applyBorder="1" applyAlignment="1">
      <alignment horizontal="right" vertical="center"/>
    </xf>
    <xf numFmtId="167" fontId="99" fillId="0" borderId="110" xfId="93" applyNumberFormat="1" applyFont="1" applyFill="1" applyBorder="1" applyAlignment="1">
      <alignment horizontal="right" vertical="center"/>
    </xf>
    <xf numFmtId="0" fontId="99" fillId="0" borderId="149" xfId="0" applyFont="1" applyFill="1" applyBorder="1" applyAlignment="1">
      <alignment vertical="center" wrapText="1"/>
    </xf>
    <xf numFmtId="4" fontId="99" fillId="0" borderId="112" xfId="0" applyNumberFormat="1" applyFont="1" applyFill="1" applyBorder="1" applyAlignment="1">
      <alignment horizontal="right" vertical="center" wrapText="1"/>
    </xf>
    <xf numFmtId="2" fontId="99" fillId="0" borderId="112" xfId="0" applyNumberFormat="1" applyFont="1" applyFill="1" applyBorder="1" applyAlignment="1">
      <alignment horizontal="right" vertical="center" wrapText="1"/>
    </xf>
    <xf numFmtId="0" fontId="99" fillId="0" borderId="151" xfId="0" applyFont="1" applyBorder="1" applyAlignment="1">
      <alignment vertical="center" wrapText="1"/>
    </xf>
    <xf numFmtId="0" fontId="99" fillId="0" borderId="151" xfId="0" applyFont="1" applyBorder="1" applyAlignment="1">
      <alignment horizontal="center" vertical="center" wrapText="1"/>
    </xf>
    <xf numFmtId="167" fontId="99" fillId="0" borderId="154" xfId="93" applyNumberFormat="1" applyFont="1" applyFill="1" applyBorder="1" applyAlignment="1">
      <alignment horizontal="right" vertical="center"/>
    </xf>
    <xf numFmtId="167" fontId="99" fillId="0" borderId="151" xfId="93" applyNumberFormat="1" applyFont="1" applyFill="1" applyBorder="1" applyAlignment="1">
      <alignment horizontal="right" vertical="center"/>
    </xf>
    <xf numFmtId="0" fontId="99" fillId="0" borderId="9" xfId="0" applyFont="1" applyFill="1" applyBorder="1"/>
    <xf numFmtId="0" fontId="99" fillId="0" borderId="105" xfId="0" applyFont="1" applyBorder="1" applyAlignment="1">
      <alignment horizontal="center" vertical="center" wrapText="1"/>
    </xf>
    <xf numFmtId="2" fontId="99" fillId="0" borderId="105" xfId="1" applyNumberFormat="1" applyFont="1" applyFill="1" applyBorder="1" applyAlignment="1">
      <alignment horizontal="right" vertical="center" wrapText="1"/>
    </xf>
    <xf numFmtId="0" fontId="99" fillId="0" borderId="121" xfId="0" applyFont="1" applyFill="1" applyBorder="1" applyAlignment="1">
      <alignment horizontal="center" vertical="center" wrapText="1"/>
    </xf>
    <xf numFmtId="0" fontId="99" fillId="0" borderId="11" xfId="0" applyFont="1" applyFill="1" applyBorder="1" applyAlignment="1">
      <alignment horizontal="left" vertical="top" wrapText="1"/>
    </xf>
    <xf numFmtId="2" fontId="99" fillId="0" borderId="11" xfId="1" applyNumberFormat="1" applyFont="1" applyFill="1" applyBorder="1" applyAlignment="1">
      <alignment horizontal="right" vertical="center" wrapText="1"/>
    </xf>
    <xf numFmtId="0" fontId="99" fillId="0" borderId="110" xfId="0" applyFont="1" applyFill="1" applyBorder="1" applyAlignment="1">
      <alignment horizontal="left" wrapText="1"/>
    </xf>
    <xf numFmtId="2" fontId="99" fillId="0" borderId="151" xfId="1" applyNumberFormat="1" applyFont="1" applyFill="1" applyBorder="1" applyAlignment="1">
      <alignment horizontal="right" vertical="center" wrapText="1"/>
    </xf>
    <xf numFmtId="0" fontId="99" fillId="0" borderId="10" xfId="0" applyFont="1" applyFill="1" applyBorder="1" applyAlignment="1">
      <alignment horizontal="left"/>
    </xf>
    <xf numFmtId="43" fontId="99" fillId="0" borderId="11" xfId="1" applyFont="1" applyFill="1" applyBorder="1" applyAlignment="1">
      <alignment horizontal="center" vertical="center" wrapText="1"/>
    </xf>
    <xf numFmtId="4" fontId="99" fillId="0" borderId="11" xfId="0" applyNumberFormat="1" applyFont="1" applyFill="1" applyBorder="1" applyAlignment="1">
      <alignment horizontal="right" vertical="center" wrapText="1"/>
    </xf>
    <xf numFmtId="0" fontId="99" fillId="0" borderId="151" xfId="0" applyFont="1" applyFill="1" applyBorder="1" applyAlignment="1">
      <alignment wrapText="1"/>
    </xf>
    <xf numFmtId="4" fontId="99" fillId="0" borderId="151" xfId="0" applyNumberFormat="1" applyFont="1" applyFill="1" applyBorder="1" applyAlignment="1">
      <alignment horizontal="right" vertical="center" wrapText="1"/>
    </xf>
    <xf numFmtId="4" fontId="99" fillId="0" borderId="11" xfId="0" applyNumberFormat="1" applyFont="1" applyFill="1" applyBorder="1" applyAlignment="1">
      <alignment horizontal="right" vertical="center"/>
    </xf>
    <xf numFmtId="4" fontId="99" fillId="0" borderId="110" xfId="0" applyNumberFormat="1" applyFont="1" applyFill="1" applyBorder="1" applyAlignment="1">
      <alignment horizontal="right" vertical="center"/>
    </xf>
    <xf numFmtId="0" fontId="99" fillId="0" borderId="110" xfId="0" applyFont="1" applyFill="1" applyBorder="1" applyAlignment="1">
      <alignment vertical="center"/>
    </xf>
    <xf numFmtId="0" fontId="99" fillId="0" borderId="149" xfId="0" applyFont="1" applyFill="1" applyBorder="1" applyAlignment="1">
      <alignment vertical="center"/>
    </xf>
    <xf numFmtId="2" fontId="99" fillId="0" borderId="110" xfId="0" applyNumberFormat="1" applyFont="1" applyFill="1" applyBorder="1" applyAlignment="1">
      <alignment horizontal="right" wrapText="1"/>
    </xf>
    <xf numFmtId="2" fontId="99" fillId="0" borderId="110" xfId="1" applyNumberFormat="1" applyFont="1" applyFill="1" applyBorder="1" applyAlignment="1">
      <alignment horizontal="right" wrapText="1"/>
    </xf>
    <xf numFmtId="2" fontId="99" fillId="0" borderId="151" xfId="1" applyNumberFormat="1" applyFont="1" applyFill="1" applyBorder="1" applyAlignment="1">
      <alignment horizontal="right" wrapText="1"/>
    </xf>
    <xf numFmtId="4" fontId="99" fillId="0" borderId="151" xfId="0" applyNumberFormat="1" applyFont="1" applyFill="1" applyBorder="1" applyAlignment="1">
      <alignment horizontal="right" vertical="center"/>
    </xf>
    <xf numFmtId="0" fontId="99" fillId="0" borderId="11" xfId="0" applyFont="1" applyFill="1" applyBorder="1" applyAlignment="1">
      <alignment horizontal="left"/>
    </xf>
    <xf numFmtId="0" fontId="98" fillId="0" borderId="11" xfId="0" applyFont="1" applyFill="1" applyBorder="1" applyAlignment="1">
      <alignment horizontal="left" vertical="center" wrapText="1"/>
    </xf>
    <xf numFmtId="0" fontId="99" fillId="0" borderId="151" xfId="0" applyFont="1" applyFill="1" applyBorder="1" applyAlignment="1">
      <alignment horizontal="left"/>
    </xf>
    <xf numFmtId="0" fontId="98" fillId="0" borderId="151" xfId="0" applyFont="1" applyFill="1" applyBorder="1" applyAlignment="1">
      <alignment horizontal="left" vertical="center" wrapText="1"/>
    </xf>
    <xf numFmtId="0" fontId="98" fillId="0" borderId="11" xfId="0" applyFont="1" applyBorder="1" applyAlignment="1">
      <alignment horizontal="left" vertical="center" wrapText="1"/>
    </xf>
    <xf numFmtId="2" fontId="99" fillId="0" borderId="11" xfId="0" applyNumberFormat="1" applyFont="1" applyFill="1" applyBorder="1" applyAlignment="1">
      <alignment horizontal="right" wrapText="1"/>
    </xf>
    <xf numFmtId="43" fontId="99" fillId="0" borderId="11" xfId="1" applyFont="1" applyFill="1" applyBorder="1" applyAlignment="1">
      <alignment horizontal="right"/>
    </xf>
    <xf numFmtId="4" fontId="99" fillId="0" borderId="11" xfId="1" applyNumberFormat="1" applyFont="1" applyBorder="1" applyAlignment="1">
      <alignment horizontal="right" vertical="center" wrapText="1"/>
    </xf>
    <xf numFmtId="43" fontId="99" fillId="0" borderId="110" xfId="1" applyFont="1" applyFill="1" applyBorder="1" applyAlignment="1">
      <alignment horizontal="right"/>
    </xf>
    <xf numFmtId="4" fontId="99" fillId="0" borderId="110" xfId="1" applyNumberFormat="1" applyFont="1" applyBorder="1" applyAlignment="1">
      <alignment horizontal="right" vertical="center" wrapText="1"/>
    </xf>
    <xf numFmtId="2" fontId="99" fillId="0" borderId="151" xfId="0" applyNumberFormat="1" applyFont="1" applyFill="1" applyBorder="1" applyAlignment="1">
      <alignment horizontal="right" wrapText="1"/>
    </xf>
    <xf numFmtId="43" fontId="99" fillId="0" borderId="151" xfId="1" applyFont="1" applyFill="1" applyBorder="1" applyAlignment="1">
      <alignment horizontal="right"/>
    </xf>
    <xf numFmtId="0" fontId="99" fillId="0" borderId="11" xfId="0" applyFont="1" applyFill="1" applyBorder="1" applyAlignment="1">
      <alignment horizontal="center" wrapText="1"/>
    </xf>
    <xf numFmtId="2" fontId="99" fillId="0" borderId="11" xfId="0" applyNumberFormat="1" applyFont="1" applyFill="1" applyBorder="1" applyAlignment="1">
      <alignment horizontal="right"/>
    </xf>
    <xf numFmtId="2" fontId="99" fillId="0" borderId="110" xfId="0" applyNumberFormat="1" applyFont="1" applyFill="1" applyBorder="1" applyAlignment="1">
      <alignment horizontal="right"/>
    </xf>
    <xf numFmtId="2" fontId="99" fillId="0" borderId="110" xfId="0" applyNumberFormat="1" applyFont="1" applyBorder="1" applyAlignment="1">
      <alignment horizontal="right"/>
    </xf>
    <xf numFmtId="0" fontId="99" fillId="0" borderId="151" xfId="0" applyFont="1" applyFill="1" applyBorder="1" applyAlignment="1">
      <alignment horizontal="center" wrapText="1"/>
    </xf>
    <xf numFmtId="2" fontId="99" fillId="0" borderId="151" xfId="0" applyNumberFormat="1" applyFont="1" applyFill="1" applyBorder="1" applyAlignment="1">
      <alignment horizontal="right"/>
    </xf>
    <xf numFmtId="4" fontId="99" fillId="0" borderId="151" xfId="1" applyNumberFormat="1" applyFont="1" applyBorder="1" applyAlignment="1">
      <alignment horizontal="right" vertical="center" wrapText="1"/>
    </xf>
    <xf numFmtId="2" fontId="99" fillId="0" borderId="11" xfId="0" applyNumberFormat="1" applyFont="1" applyFill="1" applyBorder="1" applyAlignment="1">
      <alignment horizontal="right" vertical="center"/>
    </xf>
    <xf numFmtId="0" fontId="98" fillId="0" borderId="151" xfId="0" applyFont="1" applyBorder="1" applyAlignment="1">
      <alignment horizontal="left" vertical="center" wrapText="1"/>
    </xf>
    <xf numFmtId="2" fontId="99" fillId="0" borderId="151" xfId="0" applyNumberFormat="1" applyFont="1" applyFill="1" applyBorder="1" applyAlignment="1">
      <alignment horizontal="right" vertical="center"/>
    </xf>
    <xf numFmtId="0" fontId="98" fillId="0" borderId="11" xfId="0" applyFont="1" applyFill="1" applyBorder="1" applyAlignment="1">
      <alignment vertical="center" wrapText="1"/>
    </xf>
    <xf numFmtId="0" fontId="98" fillId="0" borderId="151" xfId="0" applyFont="1" applyFill="1" applyBorder="1" applyAlignment="1">
      <alignment vertical="center" wrapText="1"/>
    </xf>
    <xf numFmtId="43" fontId="99" fillId="0" borderId="11" xfId="1" applyFont="1" applyFill="1" applyBorder="1" applyAlignment="1">
      <alignment horizontal="right" vertical="center" wrapText="1"/>
    </xf>
    <xf numFmtId="4" fontId="99" fillId="0" borderId="110" xfId="0" applyNumberFormat="1" applyFont="1" applyBorder="1" applyAlignment="1">
      <alignment horizontal="right" vertical="center" wrapText="1"/>
    </xf>
    <xf numFmtId="0" fontId="99" fillId="0" borderId="10" xfId="0" applyFont="1" applyBorder="1" applyAlignment="1">
      <alignment vertical="center" wrapText="1"/>
    </xf>
    <xf numFmtId="4" fontId="99" fillId="0" borderId="104" xfId="0" applyNumberFormat="1" applyFont="1" applyFill="1" applyBorder="1" applyAlignment="1">
      <alignment horizontal="right" vertical="center" wrapText="1"/>
    </xf>
    <xf numFmtId="4" fontId="99" fillId="0" borderId="11" xfId="0" applyNumberFormat="1" applyFont="1" applyBorder="1" applyAlignment="1">
      <alignment horizontal="right" vertical="center" wrapText="1"/>
    </xf>
    <xf numFmtId="0" fontId="99" fillId="0" borderId="149" xfId="0" applyFont="1" applyBorder="1" applyAlignment="1">
      <alignment vertical="center" wrapText="1"/>
    </xf>
    <xf numFmtId="4" fontId="99" fillId="0" borderId="112" xfId="0" applyNumberFormat="1" applyFont="1" applyBorder="1" applyAlignment="1">
      <alignment horizontal="right" vertical="center" wrapText="1"/>
    </xf>
    <xf numFmtId="4" fontId="99" fillId="0" borderId="154" xfId="0" applyNumberFormat="1" applyFont="1" applyBorder="1" applyAlignment="1">
      <alignment horizontal="right" vertical="center" wrapText="1"/>
    </xf>
    <xf numFmtId="4" fontId="99" fillId="0" borderId="151" xfId="0" applyNumberFormat="1" applyFont="1" applyBorder="1" applyAlignment="1">
      <alignment horizontal="right" vertical="center" wrapText="1"/>
    </xf>
    <xf numFmtId="0" fontId="99" fillId="0" borderId="11" xfId="2183" applyFont="1" applyFill="1" applyBorder="1" applyAlignment="1">
      <alignment horizontal="justify" vertical="center" wrapText="1"/>
    </xf>
    <xf numFmtId="0" fontId="99" fillId="0" borderId="110" xfId="0" applyFont="1" applyFill="1" applyBorder="1" applyAlignment="1">
      <alignment horizontal="justify" vertical="center" wrapText="1"/>
    </xf>
    <xf numFmtId="0" fontId="99" fillId="0" borderId="151" xfId="2183" applyFont="1" applyFill="1" applyBorder="1" applyAlignment="1">
      <alignment horizontal="justify" vertical="center" wrapText="1"/>
    </xf>
    <xf numFmtId="0" fontId="99" fillId="0" borderId="10" xfId="0" applyFont="1" applyFill="1" applyBorder="1" applyAlignment="1">
      <alignment vertical="center"/>
    </xf>
    <xf numFmtId="0" fontId="99" fillId="0" borderId="150" xfId="0" applyFont="1" applyFill="1" applyBorder="1" applyAlignment="1">
      <alignment vertical="center"/>
    </xf>
    <xf numFmtId="0" fontId="99" fillId="0" borderId="151" xfId="0" applyFont="1" applyFill="1" applyBorder="1" applyAlignment="1">
      <alignment horizontal="left" vertical="center"/>
    </xf>
    <xf numFmtId="2" fontId="99" fillId="0" borderId="151" xfId="2196" applyNumberFormat="1" applyFont="1" applyFill="1" applyBorder="1" applyAlignment="1">
      <alignment horizontal="right" vertical="center" wrapText="1"/>
    </xf>
    <xf numFmtId="0" fontId="99" fillId="0" borderId="11" xfId="0" applyFont="1" applyFill="1" applyBorder="1" applyAlignment="1" applyProtection="1">
      <alignment horizontal="justify" vertical="justify" wrapText="1"/>
    </xf>
    <xf numFmtId="0" fontId="99" fillId="0" borderId="151" xfId="0" applyFont="1" applyFill="1" applyBorder="1" applyAlignment="1" applyProtection="1">
      <alignment horizontal="justify" vertical="justify" wrapText="1"/>
    </xf>
    <xf numFmtId="0" fontId="99" fillId="0" borderId="11" xfId="0" applyFont="1" applyFill="1" applyBorder="1" applyAlignment="1">
      <alignment horizontal="justify" vertical="center" wrapText="1"/>
    </xf>
    <xf numFmtId="0" fontId="99" fillId="0" borderId="151" xfId="0" applyFont="1" applyFill="1" applyBorder="1" applyAlignment="1">
      <alignment horizontal="justify" vertical="center" wrapText="1"/>
    </xf>
    <xf numFmtId="0" fontId="99" fillId="0" borderId="9" xfId="0" applyFont="1" applyFill="1" applyBorder="1" applyAlignment="1">
      <alignment vertical="center"/>
    </xf>
    <xf numFmtId="0" fontId="99" fillId="0" borderId="105" xfId="0" applyFont="1" applyFill="1" applyBorder="1" applyAlignment="1">
      <alignment horizontal="left"/>
    </xf>
    <xf numFmtId="4" fontId="99" fillId="0" borderId="105" xfId="0" applyNumberFormat="1" applyFont="1" applyFill="1" applyBorder="1" applyAlignment="1">
      <alignment horizontal="right" vertical="center" wrapText="1"/>
    </xf>
    <xf numFmtId="2" fontId="99" fillId="0" borderId="104" xfId="0" applyNumberFormat="1" applyFont="1" applyFill="1" applyBorder="1" applyAlignment="1">
      <alignment horizontal="right" vertical="center"/>
    </xf>
    <xf numFmtId="2" fontId="99" fillId="0" borderId="154" xfId="0" applyNumberFormat="1" applyFont="1" applyFill="1" applyBorder="1" applyAlignment="1">
      <alignment horizontal="right" vertical="center"/>
    </xf>
    <xf numFmtId="0" fontId="99" fillId="0" borderId="11" xfId="0" applyFont="1" applyBorder="1" applyAlignment="1">
      <alignment horizontal="center" vertical="center" wrapText="1"/>
    </xf>
    <xf numFmtId="2" fontId="99" fillId="0" borderId="11" xfId="0" applyNumberFormat="1" applyFont="1" applyBorder="1" applyAlignment="1">
      <alignment horizontal="right" vertical="center" wrapText="1"/>
    </xf>
    <xf numFmtId="0" fontId="99" fillId="0" borderId="151" xfId="0" applyFont="1" applyBorder="1" applyAlignment="1">
      <alignment wrapText="1"/>
    </xf>
    <xf numFmtId="2" fontId="99" fillId="0" borderId="151" xfId="0" applyNumberFormat="1" applyFont="1" applyBorder="1" applyAlignment="1">
      <alignment horizontal="right" vertical="center" wrapText="1"/>
    </xf>
    <xf numFmtId="10" fontId="102" fillId="2" borderId="106" xfId="2" applyNumberFormat="1" applyFont="1" applyFill="1" applyBorder="1" applyAlignment="1">
      <alignment horizontal="right" vertical="center" wrapText="1"/>
    </xf>
    <xf numFmtId="4" fontId="102" fillId="85" borderId="105" xfId="1" applyNumberFormat="1" applyFont="1" applyFill="1" applyBorder="1" applyAlignment="1">
      <alignment horizontal="right" vertical="center" wrapText="1"/>
    </xf>
    <xf numFmtId="4" fontId="102" fillId="85" borderId="121" xfId="1" applyNumberFormat="1" applyFont="1" applyFill="1" applyBorder="1" applyAlignment="1">
      <alignment horizontal="right" vertical="center" wrapText="1"/>
    </xf>
    <xf numFmtId="4" fontId="102" fillId="2" borderId="105" xfId="1" applyNumberFormat="1" applyFont="1" applyFill="1" applyBorder="1" applyAlignment="1">
      <alignment horizontal="right" vertical="center" wrapText="1"/>
    </xf>
    <xf numFmtId="4" fontId="102" fillId="2" borderId="121" xfId="1" applyNumberFormat="1" applyFont="1" applyFill="1" applyBorder="1" applyAlignment="1">
      <alignment horizontal="right" vertical="center" wrapText="1"/>
    </xf>
    <xf numFmtId="0" fontId="99" fillId="0" borderId="119" xfId="0" applyFont="1" applyFill="1" applyBorder="1"/>
    <xf numFmtId="0" fontId="99" fillId="0" borderId="114" xfId="0" applyFont="1" applyFill="1" applyBorder="1" applyAlignment="1">
      <alignment horizontal="left"/>
    </xf>
    <xf numFmtId="0" fontId="98" fillId="0" borderId="114" xfId="0" applyFont="1" applyFill="1" applyBorder="1" applyAlignment="1">
      <alignment wrapText="1"/>
    </xf>
    <xf numFmtId="0" fontId="99" fillId="0" borderId="118" xfId="0" applyFont="1" applyFill="1" applyBorder="1" applyAlignment="1">
      <alignment horizontal="center" vertical="center" wrapText="1"/>
    </xf>
    <xf numFmtId="2" fontId="99" fillId="0" borderId="114" xfId="1" applyNumberFormat="1" applyFont="1" applyFill="1" applyBorder="1" applyAlignment="1">
      <alignment horizontal="right" vertical="center" wrapText="1"/>
    </xf>
    <xf numFmtId="43" fontId="99" fillId="0" borderId="114" xfId="1" applyFont="1" applyBorder="1" applyAlignment="1">
      <alignment horizontal="right"/>
    </xf>
    <xf numFmtId="43" fontId="99" fillId="0" borderId="114" xfId="1" applyFont="1" applyFill="1" applyBorder="1" applyAlignment="1">
      <alignment horizontal="right" vertical="center" wrapText="1"/>
    </xf>
    <xf numFmtId="4" fontId="99" fillId="0" borderId="114" xfId="1" applyNumberFormat="1" applyFont="1" applyBorder="1" applyAlignment="1">
      <alignment horizontal="right" vertical="center" wrapText="1"/>
    </xf>
    <xf numFmtId="4" fontId="99" fillId="0" borderId="38" xfId="1" applyNumberFormat="1" applyFont="1" applyFill="1" applyBorder="1" applyAlignment="1">
      <alignment horizontal="right" vertical="center" wrapText="1"/>
    </xf>
    <xf numFmtId="10" fontId="99" fillId="0" borderId="134" xfId="2" applyNumberFormat="1" applyFont="1" applyFill="1" applyBorder="1" applyAlignment="1">
      <alignment horizontal="right" vertical="center" wrapText="1"/>
    </xf>
    <xf numFmtId="0" fontId="99" fillId="0" borderId="7" xfId="0" applyFont="1" applyFill="1" applyBorder="1" applyAlignment="1">
      <alignment horizontal="left"/>
    </xf>
    <xf numFmtId="43" fontId="99" fillId="0" borderId="7" xfId="1" applyFont="1" applyFill="1" applyBorder="1" applyAlignment="1">
      <alignment horizontal="center" vertical="center" wrapText="1"/>
    </xf>
    <xf numFmtId="2" fontId="99" fillId="0" borderId="7" xfId="0" applyNumberFormat="1" applyFont="1" applyFill="1" applyBorder="1" applyAlignment="1">
      <alignment horizontal="right" vertical="center" wrapText="1"/>
    </xf>
    <xf numFmtId="43" fontId="99" fillId="0" borderId="7" xfId="1" applyFont="1" applyFill="1" applyBorder="1" applyAlignment="1">
      <alignment horizontal="right" vertical="center" wrapText="1"/>
    </xf>
    <xf numFmtId="4" fontId="99" fillId="0" borderId="7" xfId="0" applyNumberFormat="1" applyFont="1" applyFill="1" applyBorder="1" applyAlignment="1">
      <alignment horizontal="right" vertical="center" wrapText="1"/>
    </xf>
    <xf numFmtId="4" fontId="99" fillId="0" borderId="7" xfId="1" applyNumberFormat="1" applyFont="1" applyBorder="1" applyAlignment="1">
      <alignment horizontal="right" vertical="center" wrapText="1"/>
    </xf>
    <xf numFmtId="10" fontId="99" fillId="0" borderId="120" xfId="2" applyNumberFormat="1" applyFont="1" applyFill="1" applyBorder="1" applyAlignment="1">
      <alignment horizontal="right" vertical="center" wrapText="1"/>
    </xf>
    <xf numFmtId="0" fontId="125" fillId="0" borderId="0" xfId="727" applyFont="1" applyAlignment="1">
      <alignment wrapText="1"/>
    </xf>
    <xf numFmtId="0" fontId="77" fillId="0" borderId="0" xfId="727" applyFill="1"/>
    <xf numFmtId="0" fontId="126" fillId="0" borderId="0" xfId="727" applyFont="1"/>
    <xf numFmtId="0" fontId="127" fillId="0" borderId="0" xfId="0" applyFont="1" applyFill="1"/>
    <xf numFmtId="0" fontId="94" fillId="0" borderId="0" xfId="727" applyFont="1" applyAlignment="1">
      <alignment wrapText="1"/>
    </xf>
    <xf numFmtId="0" fontId="94" fillId="0" borderId="0" xfId="727" applyFont="1"/>
    <xf numFmtId="0" fontId="94" fillId="0" borderId="0" xfId="727" applyFont="1" applyFill="1" applyAlignment="1">
      <alignment wrapText="1"/>
    </xf>
    <xf numFmtId="0" fontId="119" fillId="0" borderId="110" xfId="0" applyFont="1" applyFill="1" applyBorder="1" applyAlignment="1">
      <alignment horizontal="center" vertical="top" wrapText="1"/>
    </xf>
    <xf numFmtId="0" fontId="128" fillId="89" borderId="0" xfId="727" applyFont="1" applyFill="1" applyAlignment="1">
      <alignment wrapText="1"/>
    </xf>
    <xf numFmtId="2" fontId="109" fillId="0" borderId="110" xfId="2199" applyNumberFormat="1" applyFont="1" applyFill="1" applyBorder="1" applyAlignment="1">
      <alignment horizontal="right" vertical="top" wrapText="1"/>
    </xf>
    <xf numFmtId="2" fontId="4" fillId="0" borderId="109" xfId="0" applyNumberFormat="1" applyFont="1" applyFill="1" applyBorder="1" applyAlignment="1">
      <alignment horizontal="center" vertical="center" wrapText="1"/>
    </xf>
    <xf numFmtId="2" fontId="79" fillId="0" borderId="109" xfId="0" applyNumberFormat="1" applyFont="1" applyBorder="1" applyAlignment="1">
      <alignment horizontal="center" vertical="center" wrapText="1"/>
    </xf>
    <xf numFmtId="2" fontId="7" fillId="0" borderId="109" xfId="0" applyNumberFormat="1" applyFont="1" applyFill="1" applyBorder="1" applyAlignment="1">
      <alignment horizontal="center" vertical="center" wrapText="1"/>
    </xf>
    <xf numFmtId="2" fontId="118" fillId="0" borderId="109" xfId="0" applyNumberFormat="1" applyFont="1" applyBorder="1" applyAlignment="1">
      <alignment horizontal="center" vertical="center" wrapText="1"/>
    </xf>
    <xf numFmtId="4" fontId="7" fillId="0" borderId="109" xfId="0" applyNumberFormat="1" applyFont="1" applyFill="1" applyBorder="1" applyAlignment="1">
      <alignment horizontal="center" vertical="center" wrapText="1"/>
    </xf>
    <xf numFmtId="43" fontId="7" fillId="0" borderId="109" xfId="0" applyNumberFormat="1" applyFont="1" applyFill="1" applyBorder="1" applyAlignment="1">
      <alignment horizontal="center" vertical="center" wrapText="1"/>
    </xf>
    <xf numFmtId="4" fontId="118" fillId="0" borderId="109" xfId="0" applyNumberFormat="1" applyFont="1" applyBorder="1" applyAlignment="1">
      <alignment horizontal="center" vertical="center" wrapText="1"/>
    </xf>
    <xf numFmtId="4" fontId="102" fillId="2" borderId="8" xfId="1" applyNumberFormat="1" applyFont="1" applyFill="1" applyBorder="1" applyAlignment="1">
      <alignment horizontal="right" vertical="center" wrapText="1"/>
    </xf>
    <xf numFmtId="4" fontId="102" fillId="2" borderId="15" xfId="1" applyNumberFormat="1" applyFont="1" applyFill="1" applyBorder="1" applyAlignment="1">
      <alignment horizontal="right" vertical="center" wrapText="1"/>
    </xf>
    <xf numFmtId="10" fontId="102" fillId="2" borderId="135" xfId="2" applyNumberFormat="1" applyFont="1" applyFill="1" applyBorder="1" applyAlignment="1">
      <alignment horizontal="right" vertical="center" wrapText="1"/>
    </xf>
    <xf numFmtId="0" fontId="99" fillId="0" borderId="72" xfId="0" applyFont="1" applyFill="1" applyBorder="1" applyAlignment="1">
      <alignment horizontal="left" vertical="center" wrapText="1"/>
    </xf>
    <xf numFmtId="0" fontId="99" fillId="0" borderId="72" xfId="0" applyFont="1" applyFill="1" applyBorder="1" applyAlignment="1">
      <alignment horizontal="center" vertical="center" wrapText="1"/>
    </xf>
    <xf numFmtId="2" fontId="99" fillId="0" borderId="72" xfId="0" applyNumberFormat="1" applyFont="1" applyFill="1" applyBorder="1" applyAlignment="1">
      <alignment horizontal="right" vertical="center" wrapText="1"/>
    </xf>
    <xf numFmtId="4" fontId="99" fillId="0" borderId="72" xfId="1" applyNumberFormat="1" applyFont="1" applyFill="1" applyBorder="1" applyAlignment="1">
      <alignment horizontal="right" vertical="center" wrapText="1"/>
    </xf>
    <xf numFmtId="0" fontId="99" fillId="0" borderId="73" xfId="0" applyFont="1" applyFill="1" applyBorder="1"/>
    <xf numFmtId="10" fontId="99" fillId="0" borderId="3" xfId="2" applyNumberFormat="1" applyFont="1" applyFill="1" applyBorder="1" applyAlignment="1">
      <alignment horizontal="right" vertical="center" wrapText="1"/>
    </xf>
    <xf numFmtId="0" fontId="7" fillId="0" borderId="114" xfId="0" applyFont="1" applyFill="1" applyBorder="1"/>
    <xf numFmtId="0" fontId="7" fillId="0" borderId="114" xfId="2194" applyFont="1" applyFill="1" applyBorder="1" applyAlignment="1">
      <alignment horizontal="center" vertical="center" wrapText="1"/>
    </xf>
    <xf numFmtId="0" fontId="7" fillId="0" borderId="114" xfId="0" applyFont="1" applyFill="1" applyBorder="1" applyAlignment="1">
      <alignment horizontal="justify" vertical="center" wrapText="1"/>
    </xf>
    <xf numFmtId="0" fontId="7" fillId="0" borderId="156" xfId="0" applyFont="1" applyFill="1" applyBorder="1" applyAlignment="1">
      <alignment horizontal="center" vertical="center" wrapText="1"/>
    </xf>
    <xf numFmtId="0" fontId="118" fillId="0" borderId="156" xfId="0" applyFont="1" applyBorder="1" applyAlignment="1">
      <alignment horizontal="center" vertical="center" wrapText="1"/>
    </xf>
    <xf numFmtId="0" fontId="83" fillId="0" borderId="72" xfId="0" applyFont="1" applyFill="1" applyBorder="1"/>
    <xf numFmtId="0" fontId="83" fillId="0" borderId="72" xfId="0" applyFont="1" applyFill="1" applyBorder="1" applyAlignment="1">
      <alignment horizontal="center" vertical="center"/>
    </xf>
    <xf numFmtId="0" fontId="84" fillId="0" borderId="72" xfId="0" applyFont="1" applyFill="1" applyBorder="1" applyAlignment="1">
      <alignment horizontal="center" vertical="center"/>
    </xf>
    <xf numFmtId="166" fontId="89" fillId="2" borderId="148" xfId="1" applyNumberFormat="1" applyFont="1" applyFill="1" applyBorder="1" applyAlignment="1">
      <alignment horizontal="right" vertical="center" wrapText="1"/>
    </xf>
    <xf numFmtId="166" fontId="89" fillId="2" borderId="12" xfId="1" applyNumberFormat="1" applyFont="1" applyFill="1" applyBorder="1" applyAlignment="1">
      <alignment horizontal="right" vertical="center" wrapText="1"/>
    </xf>
    <xf numFmtId="10" fontId="89" fillId="2" borderId="158" xfId="2" applyNumberFormat="1" applyFont="1" applyFill="1" applyBorder="1" applyAlignment="1">
      <alignment horizontal="right" vertical="center" wrapText="1"/>
    </xf>
    <xf numFmtId="2" fontId="99" fillId="0" borderId="72" xfId="0" applyNumberFormat="1" applyFont="1" applyBorder="1" applyAlignment="1">
      <alignment horizontal="right" vertical="center" wrapText="1"/>
    </xf>
    <xf numFmtId="0" fontId="99" fillId="0" borderId="72" xfId="0" applyFont="1" applyFill="1" applyBorder="1" applyAlignment="1">
      <alignment horizontal="left" vertical="center"/>
    </xf>
    <xf numFmtId="4" fontId="7" fillId="0" borderId="114" xfId="2194" applyNumberFormat="1" applyFont="1" applyFill="1" applyBorder="1" applyAlignment="1">
      <alignment horizontal="center" vertical="center" wrapText="1"/>
    </xf>
    <xf numFmtId="4" fontId="101" fillId="0" borderId="73" xfId="0" applyNumberFormat="1" applyFont="1" applyFill="1" applyBorder="1" applyAlignment="1">
      <alignment horizontal="left" vertical="center"/>
    </xf>
    <xf numFmtId="0" fontId="0" fillId="0" borderId="110" xfId="0" applyBorder="1"/>
    <xf numFmtId="201" fontId="0" fillId="0" borderId="110" xfId="2" applyNumberFormat="1" applyFont="1" applyBorder="1"/>
    <xf numFmtId="0" fontId="0" fillId="0" borderId="10" xfId="0" applyBorder="1"/>
    <xf numFmtId="0" fontId="0" fillId="0" borderId="11" xfId="0" applyBorder="1"/>
    <xf numFmtId="201" fontId="0" fillId="0" borderId="11" xfId="2" applyNumberFormat="1" applyFont="1" applyBorder="1"/>
    <xf numFmtId="201" fontId="0" fillId="0" borderId="13" xfId="0" applyNumberFormat="1" applyBorder="1"/>
    <xf numFmtId="0" fontId="0" fillId="0" borderId="149" xfId="0" applyBorder="1"/>
    <xf numFmtId="201" fontId="0" fillId="0" borderId="133" xfId="0" applyNumberFormat="1" applyBorder="1"/>
    <xf numFmtId="0" fontId="0" fillId="0" borderId="159" xfId="0" applyBorder="1"/>
    <xf numFmtId="0" fontId="0" fillId="0" borderId="151" xfId="0" applyBorder="1"/>
    <xf numFmtId="201" fontId="0" fillId="0" borderId="151" xfId="2" applyNumberFormat="1" applyFont="1" applyBorder="1"/>
    <xf numFmtId="201" fontId="0" fillId="0" borderId="152" xfId="0" applyNumberFormat="1" applyBorder="1"/>
    <xf numFmtId="0" fontId="0" fillId="0" borderId="119" xfId="0" applyBorder="1"/>
    <xf numFmtId="0" fontId="0" fillId="0" borderId="114" xfId="0" applyBorder="1"/>
    <xf numFmtId="201" fontId="0" fillId="0" borderId="114" xfId="2" applyNumberFormat="1" applyFont="1" applyBorder="1"/>
    <xf numFmtId="201" fontId="0" fillId="0" borderId="134" xfId="0" applyNumberFormat="1" applyBorder="1"/>
    <xf numFmtId="0" fontId="0" fillId="0" borderId="6" xfId="0" applyBorder="1"/>
    <xf numFmtId="0" fontId="0" fillId="0" borderId="7" xfId="0" applyBorder="1"/>
    <xf numFmtId="201" fontId="0" fillId="0" borderId="7" xfId="2" applyNumberFormat="1" applyFont="1" applyBorder="1"/>
    <xf numFmtId="201" fontId="0" fillId="0" borderId="120" xfId="0" applyNumberFormat="1" applyBorder="1"/>
    <xf numFmtId="165" fontId="0" fillId="0" borderId="11" xfId="2197" applyFont="1" applyBorder="1"/>
    <xf numFmtId="165" fontId="0" fillId="0" borderId="110" xfId="2197" applyFont="1" applyBorder="1"/>
    <xf numFmtId="165" fontId="0" fillId="0" borderId="114" xfId="2197" applyFont="1" applyBorder="1"/>
    <xf numFmtId="165" fontId="0" fillId="0" borderId="151" xfId="2197" applyFont="1" applyBorder="1"/>
    <xf numFmtId="165" fontId="0" fillId="0" borderId="7" xfId="2197" applyFont="1" applyBorder="1"/>
    <xf numFmtId="0" fontId="113" fillId="87" borderId="110" xfId="0" applyFont="1" applyFill="1" applyBorder="1" applyAlignment="1">
      <alignment horizontal="left" vertical="center" wrapText="1"/>
    </xf>
    <xf numFmtId="0" fontId="2" fillId="0" borderId="11" xfId="0" applyFont="1" applyBorder="1" applyAlignment="1">
      <alignment horizontal="center"/>
    </xf>
    <xf numFmtId="0" fontId="2" fillId="0" borderId="13" xfId="0" applyFont="1" applyBorder="1" applyAlignment="1">
      <alignment horizontal="center"/>
    </xf>
    <xf numFmtId="0" fontId="113" fillId="87" borderId="110" xfId="0" applyFont="1" applyFill="1" applyBorder="1" applyAlignment="1">
      <alignment horizontal="left" vertical="center"/>
    </xf>
    <xf numFmtId="0" fontId="102" fillId="85" borderId="39" xfId="0" applyFont="1" applyFill="1" applyBorder="1" applyAlignment="1">
      <alignment horizontal="center" vertical="center" wrapText="1"/>
    </xf>
    <xf numFmtId="0" fontId="102" fillId="85" borderId="117" xfId="0" applyFont="1" applyFill="1" applyBorder="1" applyAlignment="1">
      <alignment horizontal="center" vertical="center" wrapText="1"/>
    </xf>
    <xf numFmtId="0" fontId="102" fillId="2" borderId="39" xfId="0" applyFont="1" applyFill="1" applyBorder="1" applyAlignment="1">
      <alignment horizontal="center" vertical="center" wrapText="1"/>
    </xf>
    <xf numFmtId="0" fontId="102" fillId="2" borderId="117" xfId="0" applyFont="1" applyFill="1" applyBorder="1" applyAlignment="1">
      <alignment horizontal="center" vertical="center" wrapText="1"/>
    </xf>
    <xf numFmtId="0" fontId="102" fillId="2" borderId="121" xfId="0" applyFont="1" applyFill="1" applyBorder="1" applyAlignment="1">
      <alignment horizontal="center" vertical="center" wrapText="1"/>
    </xf>
    <xf numFmtId="0" fontId="102" fillId="2" borderId="40" xfId="0" applyFont="1" applyFill="1" applyBorder="1" applyAlignment="1">
      <alignment horizontal="center" vertical="center" wrapText="1"/>
    </xf>
    <xf numFmtId="0" fontId="102" fillId="85" borderId="121" xfId="0" applyFont="1" applyFill="1" applyBorder="1" applyAlignment="1">
      <alignment horizontal="center" vertical="center" wrapText="1"/>
    </xf>
    <xf numFmtId="0" fontId="102" fillId="85" borderId="40" xfId="0" applyFont="1" applyFill="1" applyBorder="1" applyAlignment="1">
      <alignment horizontal="center" vertical="center" wrapText="1"/>
    </xf>
    <xf numFmtId="0" fontId="89" fillId="2" borderId="39" xfId="0" applyFont="1" applyFill="1" applyBorder="1" applyAlignment="1">
      <alignment horizontal="center" vertical="center" wrapText="1"/>
    </xf>
    <xf numFmtId="0" fontId="89" fillId="2" borderId="40" xfId="0" applyFont="1" applyFill="1" applyBorder="1" applyAlignment="1">
      <alignment horizontal="center" vertical="center" wrapText="1"/>
    </xf>
    <xf numFmtId="0" fontId="89" fillId="2" borderId="41" xfId="0" applyFont="1" applyFill="1" applyBorder="1" applyAlignment="1">
      <alignment horizontal="center" vertical="center" wrapText="1"/>
    </xf>
    <xf numFmtId="0" fontId="89" fillId="2" borderId="27" xfId="0" applyFont="1" applyFill="1" applyBorder="1" applyAlignment="1">
      <alignment horizontal="center" vertical="center" wrapText="1"/>
    </xf>
    <xf numFmtId="0" fontId="89" fillId="2" borderId="157" xfId="0" applyFont="1" applyFill="1" applyBorder="1" applyAlignment="1">
      <alignment horizontal="center" vertical="center" wrapText="1"/>
    </xf>
    <xf numFmtId="0" fontId="102" fillId="2" borderId="30" xfId="0" applyFont="1" applyFill="1" applyBorder="1" applyAlignment="1">
      <alignment horizontal="center" vertical="center" wrapText="1"/>
    </xf>
    <xf numFmtId="0" fontId="102" fillId="2" borderId="155" xfId="0" applyFont="1" applyFill="1" applyBorder="1" applyAlignment="1">
      <alignment horizontal="center" vertical="center" wrapText="1"/>
    </xf>
    <xf numFmtId="0" fontId="102" fillId="2" borderId="15" xfId="0" applyFont="1" applyFill="1" applyBorder="1" applyAlignment="1">
      <alignment horizontal="center" vertical="center" wrapText="1"/>
    </xf>
    <xf numFmtId="0" fontId="102" fillId="2" borderId="31" xfId="0" applyFont="1" applyFill="1" applyBorder="1" applyAlignment="1">
      <alignment horizontal="center" vertical="center" wrapText="1"/>
    </xf>
    <xf numFmtId="0" fontId="89" fillId="2" borderId="12" xfId="0" applyFont="1" applyFill="1" applyBorder="1" applyAlignment="1">
      <alignment horizontal="center" vertical="center" wrapText="1"/>
    </xf>
    <xf numFmtId="0" fontId="89" fillId="2" borderId="28" xfId="0" applyFont="1" applyFill="1" applyBorder="1" applyAlignment="1">
      <alignment horizontal="center" vertical="center" wrapText="1"/>
    </xf>
    <xf numFmtId="0" fontId="102" fillId="85" borderId="121" xfId="0" applyFont="1" applyFill="1" applyBorder="1" applyAlignment="1">
      <alignment horizontal="center"/>
    </xf>
    <xf numFmtId="0" fontId="102" fillId="85" borderId="40" xfId="0" applyFont="1" applyFill="1" applyBorder="1" applyAlignment="1">
      <alignment horizontal="center"/>
    </xf>
    <xf numFmtId="0" fontId="102" fillId="85" borderId="117" xfId="0" applyFont="1" applyFill="1" applyBorder="1" applyAlignment="1">
      <alignment horizontal="center"/>
    </xf>
    <xf numFmtId="0" fontId="102" fillId="85" borderId="121" xfId="2183" applyFont="1" applyFill="1" applyBorder="1" applyAlignment="1">
      <alignment horizontal="center" vertical="center" wrapText="1"/>
    </xf>
    <xf numFmtId="0" fontId="102" fillId="85" borderId="40" xfId="2183" applyFont="1" applyFill="1" applyBorder="1" applyAlignment="1">
      <alignment horizontal="center" vertical="center" wrapText="1"/>
    </xf>
    <xf numFmtId="0" fontId="102" fillId="85" borderId="117" xfId="2183" applyFont="1" applyFill="1" applyBorder="1" applyAlignment="1">
      <alignment horizontal="center" vertical="center" wrapText="1"/>
    </xf>
    <xf numFmtId="0" fontId="117" fillId="92" borderId="29" xfId="0" applyFont="1" applyFill="1" applyBorder="1" applyAlignment="1">
      <alignment horizontal="center" vertical="center"/>
    </xf>
    <xf numFmtId="0" fontId="117" fillId="92" borderId="34" xfId="0" applyFont="1" applyFill="1" applyBorder="1" applyAlignment="1">
      <alignment horizontal="center" vertical="center"/>
    </xf>
    <xf numFmtId="0" fontId="117" fillId="93" borderId="34" xfId="0" applyFont="1" applyFill="1" applyBorder="1" applyAlignment="1">
      <alignment horizontal="center" vertical="center"/>
    </xf>
    <xf numFmtId="0" fontId="117" fillId="96" borderId="34" xfId="0" applyFont="1" applyFill="1" applyBorder="1" applyAlignment="1">
      <alignment horizontal="center" vertical="center"/>
    </xf>
    <xf numFmtId="0" fontId="117" fillId="96" borderId="32" xfId="0" applyFont="1" applyFill="1" applyBorder="1" applyAlignment="1">
      <alignment horizontal="center" vertical="center"/>
    </xf>
    <xf numFmtId="0" fontId="7" fillId="0" borderId="72" xfId="0" applyFont="1" applyBorder="1" applyAlignment="1">
      <alignment horizontal="left"/>
    </xf>
    <xf numFmtId="0" fontId="7" fillId="0" borderId="21" xfId="0" applyFont="1" applyBorder="1" applyAlignment="1">
      <alignment horizontal="left"/>
    </xf>
    <xf numFmtId="10" fontId="7" fillId="0" borderId="134" xfId="2" applyNumberFormat="1" applyFont="1" applyBorder="1" applyAlignment="1">
      <alignment horizontal="center"/>
    </xf>
    <xf numFmtId="10" fontId="7" fillId="0" borderId="135" xfId="2" applyNumberFormat="1" applyFont="1" applyBorder="1" applyAlignment="1">
      <alignment horizontal="center"/>
    </xf>
    <xf numFmtId="0" fontId="7" fillId="0" borderId="5" xfId="0" applyFont="1" applyBorder="1" applyAlignment="1">
      <alignment horizontal="left"/>
    </xf>
    <xf numFmtId="0" fontId="7" fillId="0" borderId="26" xfId="0" applyFont="1" applyBorder="1" applyAlignment="1">
      <alignment horizontal="left"/>
    </xf>
    <xf numFmtId="10" fontId="4" fillId="0" borderId="7" xfId="2" applyNumberFormat="1" applyFont="1" applyBorder="1" applyAlignment="1">
      <alignment horizontal="center" vertical="center"/>
    </xf>
    <xf numFmtId="10" fontId="4" fillId="0" borderId="72" xfId="2" applyNumberFormat="1" applyFont="1" applyBorder="1" applyAlignment="1">
      <alignment horizontal="center" vertical="center"/>
    </xf>
    <xf numFmtId="0" fontId="7" fillId="0" borderId="73" xfId="0" applyFont="1" applyBorder="1" applyAlignment="1">
      <alignment horizontal="center" vertical="center"/>
    </xf>
    <xf numFmtId="4" fontId="4" fillId="0" borderId="72" xfId="0" applyNumberFormat="1" applyFont="1" applyBorder="1" applyAlignment="1">
      <alignment horizontal="center" vertical="center"/>
    </xf>
    <xf numFmtId="4" fontId="7" fillId="0" borderId="17" xfId="0" applyNumberFormat="1" applyFont="1" applyBorder="1" applyAlignment="1">
      <alignment horizontal="left" vertical="center"/>
    </xf>
    <xf numFmtId="4" fontId="7" fillId="0" borderId="7" xfId="0" applyNumberFormat="1" applyFont="1" applyBorder="1" applyAlignment="1">
      <alignment horizontal="left" vertical="center"/>
    </xf>
    <xf numFmtId="0" fontId="4" fillId="0" borderId="73" xfId="0" applyFont="1" applyBorder="1" applyAlignment="1">
      <alignment horizontal="center" vertical="center"/>
    </xf>
    <xf numFmtId="0" fontId="6" fillId="0" borderId="0" xfId="0" applyFont="1" applyAlignment="1">
      <alignment horizontal="center"/>
    </xf>
    <xf numFmtId="0" fontId="7" fillId="3" borderId="10"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11"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0" borderId="6" xfId="0" applyFont="1" applyBorder="1" applyAlignment="1">
      <alignment horizontal="center" vertical="center"/>
    </xf>
    <xf numFmtId="4" fontId="7" fillId="0" borderId="114" xfId="0" applyNumberFormat="1" applyFont="1" applyBorder="1" applyAlignment="1">
      <alignment horizontal="left" vertical="center" wrapText="1"/>
    </xf>
    <xf numFmtId="4" fontId="7" fillId="0" borderId="7" xfId="0" applyNumberFormat="1" applyFont="1" applyBorder="1" applyAlignment="1">
      <alignment horizontal="left" vertical="center" wrapText="1"/>
    </xf>
    <xf numFmtId="4" fontId="4" fillId="0" borderId="7" xfId="0" applyNumberFormat="1" applyFont="1" applyBorder="1" applyAlignment="1">
      <alignment horizontal="center" vertical="center"/>
    </xf>
    <xf numFmtId="167" fontId="4" fillId="87" borderId="114" xfId="0" applyNumberFormat="1" applyFont="1" applyFill="1" applyBorder="1" applyAlignment="1">
      <alignment horizontal="center" vertical="center"/>
    </xf>
    <xf numFmtId="167" fontId="4" fillId="87" borderId="7" xfId="0" applyNumberFormat="1" applyFont="1" applyFill="1" applyBorder="1" applyAlignment="1">
      <alignment horizontal="center" vertical="center"/>
    </xf>
    <xf numFmtId="0" fontId="7" fillId="3" borderId="43" xfId="0" applyFont="1" applyFill="1" applyBorder="1" applyAlignment="1">
      <alignment horizontal="center" vertical="center"/>
    </xf>
    <xf numFmtId="0" fontId="7" fillId="3" borderId="44" xfId="0" applyFont="1" applyFill="1" applyBorder="1" applyAlignment="1">
      <alignment horizontal="center" vertical="center"/>
    </xf>
    <xf numFmtId="0" fontId="7" fillId="3" borderId="104" xfId="0" applyFont="1" applyFill="1" applyBorder="1" applyAlignment="1">
      <alignment horizontal="center" vertical="center"/>
    </xf>
    <xf numFmtId="167" fontId="4" fillId="87" borderId="119" xfId="0" applyNumberFormat="1" applyFont="1" applyFill="1" applyBorder="1" applyAlignment="1">
      <alignment horizontal="center" vertical="center"/>
    </xf>
    <xf numFmtId="167" fontId="4" fillId="87" borderId="6" xfId="0" applyNumberFormat="1" applyFont="1" applyFill="1" applyBorder="1" applyAlignment="1">
      <alignment horizontal="center" vertical="center"/>
    </xf>
    <xf numFmtId="167" fontId="4" fillId="87" borderId="134" xfId="0" applyNumberFormat="1" applyFont="1" applyFill="1" applyBorder="1" applyAlignment="1">
      <alignment horizontal="center" vertical="center"/>
    </xf>
    <xf numFmtId="167" fontId="4" fillId="87" borderId="120" xfId="0" applyNumberFormat="1" applyFont="1" applyFill="1" applyBorder="1" applyAlignment="1">
      <alignment horizontal="center" vertical="center"/>
    </xf>
    <xf numFmtId="0" fontId="2" fillId="0" borderId="0" xfId="0" applyFont="1" applyAlignment="1">
      <alignment horizontal="center"/>
    </xf>
    <xf numFmtId="0" fontId="0" fillId="0" borderId="48"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49" xfId="0" applyBorder="1" applyAlignment="1">
      <alignment horizontal="left" vertical="center" wrapText="1"/>
    </xf>
    <xf numFmtId="0" fontId="0" fillId="0" borderId="50" xfId="0" applyBorder="1" applyAlignment="1">
      <alignment horizontal="left" vertical="center" wrapText="1"/>
    </xf>
    <xf numFmtId="0" fontId="0" fillId="0" borderId="20" xfId="0" applyBorder="1" applyAlignment="1">
      <alignment horizontal="left" vertical="center" wrapText="1"/>
    </xf>
    <xf numFmtId="0" fontId="0" fillId="0" borderId="42" xfId="0" applyBorder="1" applyAlignment="1">
      <alignment horizontal="center" vertical="center"/>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24" xfId="0" applyBorder="1" applyAlignment="1">
      <alignment horizontal="left" vertical="center" wrapText="1"/>
    </xf>
    <xf numFmtId="0" fontId="0" fillId="0" borderId="25" xfId="0" applyBorder="1" applyAlignment="1">
      <alignment horizontal="left" vertical="center" wrapText="1"/>
    </xf>
    <xf numFmtId="0" fontId="0" fillId="0" borderId="22" xfId="0" applyBorder="1" applyAlignment="1">
      <alignment horizontal="left" vertical="center" wrapText="1"/>
    </xf>
    <xf numFmtId="0" fontId="0" fillId="0" borderId="53" xfId="0" applyBorder="1" applyAlignment="1">
      <alignment horizontal="left" vertical="center" wrapText="1"/>
    </xf>
    <xf numFmtId="0" fontId="0" fillId="0" borderId="54" xfId="0" applyBorder="1" applyAlignment="1">
      <alignment horizontal="left" vertical="center" wrapText="1"/>
    </xf>
    <xf numFmtId="0" fontId="0" fillId="0" borderId="16" xfId="0" applyBorder="1" applyAlignment="1">
      <alignment horizontal="left" vertical="center" wrapText="1"/>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8" fillId="0" borderId="24" xfId="0" applyFont="1" applyBorder="1" applyAlignment="1">
      <alignment horizontal="left"/>
    </xf>
    <xf numFmtId="0" fontId="8" fillId="0" borderId="25" xfId="0" applyFont="1" applyBorder="1" applyAlignment="1">
      <alignment horizontal="left"/>
    </xf>
    <xf numFmtId="0" fontId="8" fillId="0" borderId="23" xfId="0" applyFont="1" applyBorder="1" applyAlignment="1">
      <alignment horizontal="left"/>
    </xf>
    <xf numFmtId="0" fontId="0" fillId="0" borderId="35" xfId="0" applyBorder="1" applyAlignment="1">
      <alignment horizontal="center"/>
    </xf>
    <xf numFmtId="0" fontId="0" fillId="0" borderId="36" xfId="0" applyBorder="1" applyAlignment="1">
      <alignment horizontal="center"/>
    </xf>
    <xf numFmtId="0" fontId="0" fillId="0" borderId="37" xfId="0" applyBorder="1" applyAlignment="1">
      <alignment horizontal="center"/>
    </xf>
    <xf numFmtId="0" fontId="0" fillId="0" borderId="38" xfId="0" applyBorder="1" applyAlignment="1">
      <alignment horizontal="center"/>
    </xf>
    <xf numFmtId="0" fontId="0" fillId="0" borderId="0" xfId="0" applyAlignment="1">
      <alignment horizontal="center"/>
    </xf>
    <xf numFmtId="0" fontId="0" fillId="0" borderId="34" xfId="0" applyBorder="1" applyAlignment="1">
      <alignment horizontal="center"/>
    </xf>
    <xf numFmtId="10" fontId="0" fillId="0" borderId="21" xfId="0" applyNumberFormat="1" applyBorder="1" applyAlignment="1">
      <alignment horizontal="center" vertical="center" wrapText="1"/>
    </xf>
    <xf numFmtId="10" fontId="0" fillId="0" borderId="25" xfId="0" applyNumberFormat="1" applyBorder="1" applyAlignment="1">
      <alignment horizontal="center" vertical="center" wrapText="1"/>
    </xf>
    <xf numFmtId="10" fontId="0" fillId="0" borderId="23" xfId="0" applyNumberFormat="1" applyBorder="1" applyAlignment="1">
      <alignment horizontal="center" vertical="center" wrapText="1"/>
    </xf>
    <xf numFmtId="0" fontId="7" fillId="0" borderId="39" xfId="0" applyFont="1" applyBorder="1" applyAlignment="1">
      <alignment horizontal="center"/>
    </xf>
    <xf numFmtId="0" fontId="7" fillId="0" borderId="40" xfId="0" applyFont="1" applyBorder="1" applyAlignment="1">
      <alignment horizontal="center"/>
    </xf>
    <xf numFmtId="0" fontId="7" fillId="0" borderId="41" xfId="0" applyFont="1" applyBorder="1" applyAlignment="1">
      <alignment horizontal="center"/>
    </xf>
    <xf numFmtId="0" fontId="0" fillId="0" borderId="43" xfId="0" applyBorder="1" applyAlignment="1">
      <alignment horizontal="left" vertical="center" wrapText="1"/>
    </xf>
    <xf numFmtId="0" fontId="0" fillId="0" borderId="44" xfId="0" applyBorder="1" applyAlignment="1">
      <alignment horizontal="left" vertical="center" wrapText="1"/>
    </xf>
    <xf numFmtId="0" fontId="0" fillId="0" borderId="14" xfId="0" applyBorder="1" applyAlignment="1">
      <alignment horizontal="left" vertical="center" wrapText="1"/>
    </xf>
    <xf numFmtId="0" fontId="4" fillId="0" borderId="113" xfId="0" applyFont="1" applyFill="1" applyBorder="1" applyAlignment="1">
      <alignment horizontal="left"/>
    </xf>
    <xf numFmtId="0" fontId="4" fillId="0" borderId="111" xfId="0" applyFont="1" applyFill="1" applyBorder="1" applyAlignment="1">
      <alignment horizontal="left"/>
    </xf>
    <xf numFmtId="0" fontId="4" fillId="0" borderId="21" xfId="0" applyFont="1" applyFill="1" applyBorder="1" applyAlignment="1">
      <alignment horizontal="left"/>
    </xf>
    <xf numFmtId="0" fontId="4" fillId="0" borderId="25" xfId="0" applyFont="1" applyFill="1" applyBorder="1" applyAlignment="1">
      <alignment horizontal="left"/>
    </xf>
    <xf numFmtId="0" fontId="4" fillId="0" borderId="72" xfId="1574" applyFont="1" applyFill="1" applyBorder="1" applyAlignment="1">
      <alignment horizontal="center" vertical="center" wrapText="1"/>
    </xf>
    <xf numFmtId="0" fontId="4" fillId="0" borderId="72" xfId="1574" applyFont="1" applyFill="1" applyBorder="1" applyAlignment="1">
      <alignment horizontal="center" vertical="center"/>
    </xf>
    <xf numFmtId="0" fontId="94" fillId="0" borderId="0" xfId="727" applyFont="1" applyAlignment="1">
      <alignment wrapText="1"/>
    </xf>
    <xf numFmtId="0" fontId="94" fillId="0" borderId="0" xfId="727" applyFont="1"/>
    <xf numFmtId="0" fontId="92" fillId="88" borderId="126" xfId="727" applyFont="1" applyFill="1" applyBorder="1" applyAlignment="1">
      <alignment horizontal="left" vertical="center" wrapText="1"/>
    </xf>
    <xf numFmtId="0" fontId="92" fillId="88" borderId="0" xfId="727" applyFont="1" applyFill="1" applyAlignment="1">
      <alignment horizontal="left" vertical="center" wrapText="1"/>
    </xf>
    <xf numFmtId="0" fontId="85" fillId="87" borderId="0" xfId="727" applyFont="1" applyFill="1" applyAlignment="1">
      <alignment horizontal="center"/>
    </xf>
    <xf numFmtId="0" fontId="85" fillId="87" borderId="127" xfId="727" applyFont="1" applyFill="1" applyBorder="1" applyAlignment="1">
      <alignment horizontal="center"/>
    </xf>
    <xf numFmtId="0" fontId="109" fillId="0" borderId="110" xfId="2199" applyFont="1" applyFill="1" applyBorder="1" applyAlignment="1">
      <alignment horizontal="center" vertical="top" wrapText="1"/>
    </xf>
    <xf numFmtId="0" fontId="2" fillId="95" borderId="110" xfId="0" applyFont="1" applyFill="1" applyBorder="1" applyAlignment="1">
      <alignment horizontal="center"/>
    </xf>
    <xf numFmtId="0" fontId="94" fillId="89" borderId="122" xfId="727" applyFont="1" applyFill="1" applyBorder="1" applyAlignment="1">
      <alignment horizontal="center" wrapText="1"/>
    </xf>
    <xf numFmtId="0" fontId="119" fillId="0" borderId="110" xfId="0" applyFont="1" applyFill="1" applyBorder="1" applyAlignment="1">
      <alignment horizontal="center" vertical="top" wrapText="1"/>
    </xf>
    <xf numFmtId="0" fontId="109" fillId="0" borderId="113" xfId="2200" applyFont="1" applyFill="1" applyBorder="1" applyAlignment="1">
      <alignment horizontal="center" vertical="top" wrapText="1"/>
    </xf>
    <xf numFmtId="0" fontId="109" fillId="0" borderId="112" xfId="2200" applyFont="1" applyFill="1" applyBorder="1" applyAlignment="1">
      <alignment horizontal="center" vertical="top" wrapText="1"/>
    </xf>
    <xf numFmtId="0" fontId="94" fillId="89" borderId="111" xfId="727" applyFont="1" applyFill="1" applyBorder="1" applyAlignment="1">
      <alignment horizontal="center" wrapText="1"/>
    </xf>
    <xf numFmtId="0" fontId="119" fillId="0" borderId="113" xfId="0" applyFont="1" applyFill="1" applyBorder="1" applyAlignment="1">
      <alignment horizontal="center" vertical="top" wrapText="1"/>
    </xf>
    <xf numFmtId="0" fontId="119" fillId="0" borderId="112" xfId="0" applyFont="1" applyFill="1" applyBorder="1" applyAlignment="1">
      <alignment horizontal="center" vertical="top" wrapText="1"/>
    </xf>
    <xf numFmtId="0" fontId="112" fillId="0" borderId="0" xfId="710" applyFont="1" applyAlignment="1">
      <alignment horizontal="center" vertical="center" wrapText="1"/>
    </xf>
    <xf numFmtId="49" fontId="112" fillId="0" borderId="0" xfId="710" applyNumberFormat="1" applyFont="1" applyAlignment="1">
      <alignment horizontal="right" vertical="center"/>
    </xf>
    <xf numFmtId="0" fontId="112" fillId="91" borderId="28" xfId="710" applyFont="1" applyFill="1" applyBorder="1" applyAlignment="1">
      <alignment horizontal="center" vertical="center"/>
    </xf>
    <xf numFmtId="0" fontId="112" fillId="91" borderId="31" xfId="710" applyFont="1" applyFill="1" applyBorder="1" applyAlignment="1">
      <alignment horizontal="center" vertical="center"/>
    </xf>
    <xf numFmtId="0" fontId="112" fillId="91" borderId="28" xfId="710" applyFont="1" applyFill="1" applyBorder="1" applyAlignment="1">
      <alignment horizontal="center" vertical="center" wrapText="1"/>
    </xf>
    <xf numFmtId="0" fontId="112" fillId="91" borderId="31" xfId="710" applyFont="1" applyFill="1" applyBorder="1" applyAlignment="1">
      <alignment horizontal="center" vertical="center" wrapText="1"/>
    </xf>
    <xf numFmtId="0" fontId="112" fillId="91" borderId="44" xfId="710" applyFont="1" applyFill="1" applyBorder="1" applyAlignment="1">
      <alignment horizontal="center" vertical="center" wrapText="1"/>
    </xf>
  </cellXfs>
  <cellStyles count="2201">
    <cellStyle name="1" xfId="139"/>
    <cellStyle name="2.1" xfId="140"/>
    <cellStyle name="2.1.1" xfId="141"/>
    <cellStyle name="2.1.1.1" xfId="142"/>
    <cellStyle name="2.1.1.1 2" xfId="143"/>
    <cellStyle name="2.1.1.1_Dados" xfId="144"/>
    <cellStyle name="20% - Accent1" xfId="145"/>
    <cellStyle name="20% - Accent2" xfId="146"/>
    <cellStyle name="20% - Accent3" xfId="147"/>
    <cellStyle name="20% - Accent4" xfId="148"/>
    <cellStyle name="20% - Accent5" xfId="149"/>
    <cellStyle name="20% - Accent6" xfId="150"/>
    <cellStyle name="20% - Cor1" xfId="151"/>
    <cellStyle name="20% - Cor2" xfId="152"/>
    <cellStyle name="20% - Cor3" xfId="153"/>
    <cellStyle name="20% - Cor4" xfId="154"/>
    <cellStyle name="20% - Cor5" xfId="155"/>
    <cellStyle name="20% - Cor6" xfId="156"/>
    <cellStyle name="20% - Ênfase1 2" xfId="7"/>
    <cellStyle name="20% - Ênfase1 2 2" xfId="158"/>
    <cellStyle name="20% - Ênfase1 2 2 2" xfId="159"/>
    <cellStyle name="20% - Ênfase1 2 2 2 2" xfId="160"/>
    <cellStyle name="20% - Ênfase1 2 2 2 3" xfId="161"/>
    <cellStyle name="20% - Ênfase1 2 2 2_12001 - Planilha orçamentária" xfId="162"/>
    <cellStyle name="20% - Ênfase1 2 2 3" xfId="163"/>
    <cellStyle name="20% - Ênfase1 2 2 4" xfId="164"/>
    <cellStyle name="20% - Ênfase1 2 2_12001 - Planilha orçamentária" xfId="165"/>
    <cellStyle name="20% - Ênfase1 2 3" xfId="166"/>
    <cellStyle name="20% - Ênfase1 2 3 2" xfId="167"/>
    <cellStyle name="20% - Ênfase1 2 3 3" xfId="168"/>
    <cellStyle name="20% - Ênfase1 2 3_12001 - Planilha orçamentária" xfId="169"/>
    <cellStyle name="20% - Ênfase1 2 4" xfId="170"/>
    <cellStyle name="20% - Ênfase1 2 5" xfId="171"/>
    <cellStyle name="20% - Ênfase1 2 6" xfId="157"/>
    <cellStyle name="20% - Ênfase1 2_12001 - Planilha orçamentária" xfId="172"/>
    <cellStyle name="20% - Ênfase1 3" xfId="6"/>
    <cellStyle name="20% - Ênfase1 3 2" xfId="173"/>
    <cellStyle name="20% - Ênfase2 2" xfId="9"/>
    <cellStyle name="20% - Ênfase2 2 2" xfId="175"/>
    <cellStyle name="20% - Ênfase2 2 2 2" xfId="176"/>
    <cellStyle name="20% - Ênfase2 2 2 2 2" xfId="177"/>
    <cellStyle name="20% - Ênfase2 2 2 2 3" xfId="178"/>
    <cellStyle name="20% - Ênfase2 2 2 2_12001 - Planilha orçamentária" xfId="179"/>
    <cellStyle name="20% - Ênfase2 2 2 3" xfId="180"/>
    <cellStyle name="20% - Ênfase2 2 2 4" xfId="181"/>
    <cellStyle name="20% - Ênfase2 2 2_12001 - Planilha orçamentária" xfId="182"/>
    <cellStyle name="20% - Ênfase2 2 3" xfId="183"/>
    <cellStyle name="20% - Ênfase2 2 3 2" xfId="184"/>
    <cellStyle name="20% - Ênfase2 2 3 3" xfId="185"/>
    <cellStyle name="20% - Ênfase2 2 3_12001 - Planilha orçamentária" xfId="186"/>
    <cellStyle name="20% - Ênfase2 2 4" xfId="187"/>
    <cellStyle name="20% - Ênfase2 2 5" xfId="188"/>
    <cellStyle name="20% - Ênfase2 2 6" xfId="174"/>
    <cellStyle name="20% - Ênfase2 2_12001 - Planilha orçamentária" xfId="189"/>
    <cellStyle name="20% - Ênfase2 3" xfId="8"/>
    <cellStyle name="20% - Ênfase2 3 2" xfId="190"/>
    <cellStyle name="20% - Ênfase3 2" xfId="11"/>
    <cellStyle name="20% - Ênfase3 2 2" xfId="192"/>
    <cellStyle name="20% - Ênfase3 2 2 2" xfId="193"/>
    <cellStyle name="20% - Ênfase3 2 2 2 2" xfId="194"/>
    <cellStyle name="20% - Ênfase3 2 2 2 3" xfId="195"/>
    <cellStyle name="20% - Ênfase3 2 2 2_12001 - Planilha orçamentária" xfId="196"/>
    <cellStyle name="20% - Ênfase3 2 2 3" xfId="197"/>
    <cellStyle name="20% - Ênfase3 2 2 4" xfId="198"/>
    <cellStyle name="20% - Ênfase3 2 2_12001 - Planilha orçamentária" xfId="199"/>
    <cellStyle name="20% - Ênfase3 2 3" xfId="200"/>
    <cellStyle name="20% - Ênfase3 2 3 2" xfId="201"/>
    <cellStyle name="20% - Ênfase3 2 3 3" xfId="202"/>
    <cellStyle name="20% - Ênfase3 2 3_12001 - Planilha orçamentária" xfId="203"/>
    <cellStyle name="20% - Ênfase3 2 4" xfId="204"/>
    <cellStyle name="20% - Ênfase3 2 5" xfId="205"/>
    <cellStyle name="20% - Ênfase3 2 6" xfId="191"/>
    <cellStyle name="20% - Ênfase3 2_12001 - Planilha orçamentária" xfId="206"/>
    <cellStyle name="20% - Ênfase3 3" xfId="10"/>
    <cellStyle name="20% - Ênfase3 3 2" xfId="207"/>
    <cellStyle name="20% - Ênfase4 2" xfId="13"/>
    <cellStyle name="20% - Ênfase4 2 2" xfId="209"/>
    <cellStyle name="20% - Ênfase4 2 2 2" xfId="210"/>
    <cellStyle name="20% - Ênfase4 2 2 2 2" xfId="211"/>
    <cellStyle name="20% - Ênfase4 2 2 2 3" xfId="212"/>
    <cellStyle name="20% - Ênfase4 2 2 2_12001 - Planilha orçamentária" xfId="213"/>
    <cellStyle name="20% - Ênfase4 2 2 3" xfId="214"/>
    <cellStyle name="20% - Ênfase4 2 2 4" xfId="215"/>
    <cellStyle name="20% - Ênfase4 2 2_12001 - Planilha orçamentária" xfId="216"/>
    <cellStyle name="20% - Ênfase4 2 3" xfId="217"/>
    <cellStyle name="20% - Ênfase4 2 3 2" xfId="218"/>
    <cellStyle name="20% - Ênfase4 2 3 3" xfId="219"/>
    <cellStyle name="20% - Ênfase4 2 3_12001 - Planilha orçamentária" xfId="220"/>
    <cellStyle name="20% - Ênfase4 2 4" xfId="221"/>
    <cellStyle name="20% - Ênfase4 2 5" xfId="222"/>
    <cellStyle name="20% - Ênfase4 2 6" xfId="208"/>
    <cellStyle name="20% - Ênfase4 2_12001 - Planilha orçamentária" xfId="223"/>
    <cellStyle name="20% - Ênfase4 3" xfId="12"/>
    <cellStyle name="20% - Ênfase4 3 2" xfId="224"/>
    <cellStyle name="20% - Ênfase5 2" xfId="15"/>
    <cellStyle name="20% - Ênfase5 2 2" xfId="225"/>
    <cellStyle name="20% - Ênfase5 2 2 2" xfId="226"/>
    <cellStyle name="20% - Ênfase5 2 2 2 2" xfId="227"/>
    <cellStyle name="20% - Ênfase5 2 2 2 3" xfId="228"/>
    <cellStyle name="20% - Ênfase5 2 2 2_12001 - Planilha orçamentária" xfId="229"/>
    <cellStyle name="20% - Ênfase5 2 2 3" xfId="230"/>
    <cellStyle name="20% - Ênfase5 2 2 4" xfId="231"/>
    <cellStyle name="20% - Ênfase5 2 2_12001 - Planilha orçamentária" xfId="232"/>
    <cellStyle name="20% - Ênfase5 2 3" xfId="233"/>
    <cellStyle name="20% - Ênfase5 2 3 2" xfId="234"/>
    <cellStyle name="20% - Ênfase5 2 3 3" xfId="235"/>
    <cellStyle name="20% - Ênfase5 2 3_12001 - Planilha orçamentária" xfId="236"/>
    <cellStyle name="20% - Ênfase5 2 4" xfId="237"/>
    <cellStyle name="20% - Ênfase5 2 5" xfId="238"/>
    <cellStyle name="20% - Ênfase5 2_12001 - Planilha orçamentária" xfId="239"/>
    <cellStyle name="20% - Ênfase5 3" xfId="14"/>
    <cellStyle name="20% - Ênfase5 3 2" xfId="240"/>
    <cellStyle name="20% - Ênfase6 2" xfId="17"/>
    <cellStyle name="20% - Ênfase6 2 2" xfId="242"/>
    <cellStyle name="20% - Ênfase6 2 2 2" xfId="243"/>
    <cellStyle name="20% - Ênfase6 2 2 2 2" xfId="244"/>
    <cellStyle name="20% - Ênfase6 2 2 2 3" xfId="245"/>
    <cellStyle name="20% - Ênfase6 2 2 2_12001 - Planilha orçamentária" xfId="246"/>
    <cellStyle name="20% - Ênfase6 2 2 3" xfId="247"/>
    <cellStyle name="20% - Ênfase6 2 2 4" xfId="248"/>
    <cellStyle name="20% - Ênfase6 2 2_12001 - Planilha orçamentária" xfId="249"/>
    <cellStyle name="20% - Ênfase6 2 3" xfId="250"/>
    <cellStyle name="20% - Ênfase6 2 3 2" xfId="251"/>
    <cellStyle name="20% - Ênfase6 2 3 3" xfId="252"/>
    <cellStyle name="20% - Ênfase6 2 3_12001 - Planilha orçamentária" xfId="253"/>
    <cellStyle name="20% - Ênfase6 2 4" xfId="254"/>
    <cellStyle name="20% - Ênfase6 2 5" xfId="255"/>
    <cellStyle name="20% - Ênfase6 2 6" xfId="241"/>
    <cellStyle name="20% - Ênfase6 2_12001 - Planilha orçamentária" xfId="256"/>
    <cellStyle name="20% - Ênfase6 3" xfId="16"/>
    <cellStyle name="20% - Ênfase6 3 2" xfId="257"/>
    <cellStyle name="20% - Énfasis1" xfId="258"/>
    <cellStyle name="20% - Énfasis2" xfId="259"/>
    <cellStyle name="20% - Énfasis3" xfId="260"/>
    <cellStyle name="20% - Énfasis4" xfId="261"/>
    <cellStyle name="20% - Énfasis5" xfId="262"/>
    <cellStyle name="20% - Énfasis6" xfId="263"/>
    <cellStyle name="40% - Accent1" xfId="264"/>
    <cellStyle name="40% - Accent2" xfId="265"/>
    <cellStyle name="40% - Accent3" xfId="266"/>
    <cellStyle name="40% - Accent4" xfId="267"/>
    <cellStyle name="40% - Accent5" xfId="268"/>
    <cellStyle name="40% - Accent6" xfId="269"/>
    <cellStyle name="40% - Cor1" xfId="270"/>
    <cellStyle name="40% - Cor2" xfId="271"/>
    <cellStyle name="40% - Cor3" xfId="272"/>
    <cellStyle name="40% - Cor4" xfId="273"/>
    <cellStyle name="40% - Cor5" xfId="274"/>
    <cellStyle name="40% - Cor6" xfId="275"/>
    <cellStyle name="40% - Ênfase1 2" xfId="19"/>
    <cellStyle name="40% - Ênfase1 2 2" xfId="277"/>
    <cellStyle name="40% - Ênfase1 2 2 2" xfId="278"/>
    <cellStyle name="40% - Ênfase1 2 2 2 2" xfId="279"/>
    <cellStyle name="40% - Ênfase1 2 2 2 3" xfId="280"/>
    <cellStyle name="40% - Ênfase1 2 2 2_12001 - Planilha orçamentária" xfId="281"/>
    <cellStyle name="40% - Ênfase1 2 2 3" xfId="282"/>
    <cellStyle name="40% - Ênfase1 2 2 4" xfId="283"/>
    <cellStyle name="40% - Ênfase1 2 2_12001 - Planilha orçamentária" xfId="284"/>
    <cellStyle name="40% - Ênfase1 2 3" xfId="285"/>
    <cellStyle name="40% - Ênfase1 2 3 2" xfId="286"/>
    <cellStyle name="40% - Ênfase1 2 3 3" xfId="287"/>
    <cellStyle name="40% - Ênfase1 2 3_12001 - Planilha orçamentária" xfId="288"/>
    <cellStyle name="40% - Ênfase1 2 4" xfId="289"/>
    <cellStyle name="40% - Ênfase1 2 5" xfId="290"/>
    <cellStyle name="40% - Ênfase1 2 6" xfId="276"/>
    <cellStyle name="40% - Ênfase1 2_12001 - Planilha orçamentária" xfId="291"/>
    <cellStyle name="40% - Ênfase1 3" xfId="18"/>
    <cellStyle name="40% - Ênfase1 3 2" xfId="292"/>
    <cellStyle name="40% - Ênfase2 2" xfId="21"/>
    <cellStyle name="40% - Ênfase2 2 2" xfId="293"/>
    <cellStyle name="40% - Ênfase2 2 2 2" xfId="294"/>
    <cellStyle name="40% - Ênfase2 2 2 2 2" xfId="295"/>
    <cellStyle name="40% - Ênfase2 2 2 2 3" xfId="296"/>
    <cellStyle name="40% - Ênfase2 2 2 2_12001 - Planilha orçamentária" xfId="297"/>
    <cellStyle name="40% - Ênfase2 2 2 3" xfId="298"/>
    <cellStyle name="40% - Ênfase2 2 2 4" xfId="299"/>
    <cellStyle name="40% - Ênfase2 2 2_12001 - Planilha orçamentária" xfId="300"/>
    <cellStyle name="40% - Ênfase2 2 3" xfId="301"/>
    <cellStyle name="40% - Ênfase2 2 3 2" xfId="302"/>
    <cellStyle name="40% - Ênfase2 2 3 3" xfId="303"/>
    <cellStyle name="40% - Ênfase2 2 3_12001 - Planilha orçamentária" xfId="304"/>
    <cellStyle name="40% - Ênfase2 2 4" xfId="305"/>
    <cellStyle name="40% - Ênfase2 2 5" xfId="306"/>
    <cellStyle name="40% - Ênfase2 2_12001 - Planilha orçamentária" xfId="307"/>
    <cellStyle name="40% - Ênfase2 3" xfId="20"/>
    <cellStyle name="40% - Ênfase2 3 2" xfId="308"/>
    <cellStyle name="40% - Ênfase3 2" xfId="23"/>
    <cellStyle name="40% - Ênfase3 2 2" xfId="310"/>
    <cellStyle name="40% - Ênfase3 2 2 2" xfId="311"/>
    <cellStyle name="40% - Ênfase3 2 2 2 2" xfId="312"/>
    <cellStyle name="40% - Ênfase3 2 2 2 3" xfId="313"/>
    <cellStyle name="40% - Ênfase3 2 2 2_12001 - Planilha orçamentária" xfId="314"/>
    <cellStyle name="40% - Ênfase3 2 2 3" xfId="315"/>
    <cellStyle name="40% - Ênfase3 2 2 4" xfId="316"/>
    <cellStyle name="40% - Ênfase3 2 2_12001 - Planilha orçamentária" xfId="317"/>
    <cellStyle name="40% - Ênfase3 2 3" xfId="318"/>
    <cellStyle name="40% - Ênfase3 2 3 2" xfId="319"/>
    <cellStyle name="40% - Ênfase3 2 3 3" xfId="320"/>
    <cellStyle name="40% - Ênfase3 2 3_12001 - Planilha orçamentária" xfId="321"/>
    <cellStyle name="40% - Ênfase3 2 4" xfId="322"/>
    <cellStyle name="40% - Ênfase3 2 5" xfId="323"/>
    <cellStyle name="40% - Ênfase3 2 6" xfId="309"/>
    <cellStyle name="40% - Ênfase3 2_12001 - Planilha orçamentária" xfId="324"/>
    <cellStyle name="40% - Ênfase3 3" xfId="22"/>
    <cellStyle name="40% - Ênfase3 3 2" xfId="325"/>
    <cellStyle name="40% - Ênfase4 2" xfId="25"/>
    <cellStyle name="40% - Ênfase4 2 2" xfId="327"/>
    <cellStyle name="40% - Ênfase4 2 2 2" xfId="328"/>
    <cellStyle name="40% - Ênfase4 2 2 2 2" xfId="329"/>
    <cellStyle name="40% - Ênfase4 2 2 2 3" xfId="330"/>
    <cellStyle name="40% - Ênfase4 2 2 2_12001 - Planilha orçamentária" xfId="331"/>
    <cellStyle name="40% - Ênfase4 2 2 3" xfId="332"/>
    <cellStyle name="40% - Ênfase4 2 2 4" xfId="333"/>
    <cellStyle name="40% - Ênfase4 2 2_12001 - Planilha orçamentária" xfId="334"/>
    <cellStyle name="40% - Ênfase4 2 3" xfId="335"/>
    <cellStyle name="40% - Ênfase4 2 3 2" xfId="336"/>
    <cellStyle name="40% - Ênfase4 2 3 3" xfId="337"/>
    <cellStyle name="40% - Ênfase4 2 3_12001 - Planilha orçamentária" xfId="338"/>
    <cellStyle name="40% - Ênfase4 2 4" xfId="339"/>
    <cellStyle name="40% - Ênfase4 2 5" xfId="340"/>
    <cellStyle name="40% - Ênfase4 2 6" xfId="326"/>
    <cellStyle name="40% - Ênfase4 2_12001 - Planilha orçamentária" xfId="341"/>
    <cellStyle name="40% - Ênfase4 3" xfId="24"/>
    <cellStyle name="40% - Ênfase4 3 2" xfId="342"/>
    <cellStyle name="40% - Ênfase5 2" xfId="27"/>
    <cellStyle name="40% - Ênfase5 2 2" xfId="344"/>
    <cellStyle name="40% - Ênfase5 2 2 2" xfId="345"/>
    <cellStyle name="40% - Ênfase5 2 2 2 2" xfId="346"/>
    <cellStyle name="40% - Ênfase5 2 2 2 3" xfId="347"/>
    <cellStyle name="40% - Ênfase5 2 2 2_12001 - Planilha orçamentária" xfId="348"/>
    <cellStyle name="40% - Ênfase5 2 2 3" xfId="349"/>
    <cellStyle name="40% - Ênfase5 2 2 4" xfId="350"/>
    <cellStyle name="40% - Ênfase5 2 2_12001 - Planilha orçamentária" xfId="351"/>
    <cellStyle name="40% - Ênfase5 2 3" xfId="352"/>
    <cellStyle name="40% - Ênfase5 2 3 2" xfId="353"/>
    <cellStyle name="40% - Ênfase5 2 3 3" xfId="354"/>
    <cellStyle name="40% - Ênfase5 2 3_12001 - Planilha orçamentária" xfId="355"/>
    <cellStyle name="40% - Ênfase5 2 4" xfId="356"/>
    <cellStyle name="40% - Ênfase5 2 5" xfId="357"/>
    <cellStyle name="40% - Ênfase5 2 6" xfId="343"/>
    <cellStyle name="40% - Ênfase5 2_12001 - Planilha orçamentária" xfId="358"/>
    <cellStyle name="40% - Ênfase5 3" xfId="26"/>
    <cellStyle name="40% - Ênfase5 3 2" xfId="359"/>
    <cellStyle name="40% - Ênfase6 2" xfId="29"/>
    <cellStyle name="40% - Ênfase6 2 2" xfId="361"/>
    <cellStyle name="40% - Ênfase6 2 2 2" xfId="362"/>
    <cellStyle name="40% - Ênfase6 2 2 2 2" xfId="363"/>
    <cellStyle name="40% - Ênfase6 2 2 2 3" xfId="364"/>
    <cellStyle name="40% - Ênfase6 2 2 2_12001 - Planilha orçamentária" xfId="365"/>
    <cellStyle name="40% - Ênfase6 2 2 3" xfId="366"/>
    <cellStyle name="40% - Ênfase6 2 2 4" xfId="367"/>
    <cellStyle name="40% - Ênfase6 2 2_12001 - Planilha orçamentária" xfId="368"/>
    <cellStyle name="40% - Ênfase6 2 3" xfId="369"/>
    <cellStyle name="40% - Ênfase6 2 3 2" xfId="370"/>
    <cellStyle name="40% - Ênfase6 2 3 3" xfId="371"/>
    <cellStyle name="40% - Ênfase6 2 3_12001 - Planilha orçamentária" xfId="372"/>
    <cellStyle name="40% - Ênfase6 2 4" xfId="373"/>
    <cellStyle name="40% - Ênfase6 2 5" xfId="374"/>
    <cellStyle name="40% - Ênfase6 2 6" xfId="360"/>
    <cellStyle name="40% - Ênfase6 2_12001 - Planilha orçamentária" xfId="375"/>
    <cellStyle name="40% - Ênfase6 3" xfId="28"/>
    <cellStyle name="40% - Ênfase6 3 2" xfId="376"/>
    <cellStyle name="40% - Énfasis1" xfId="377"/>
    <cellStyle name="40% - Énfasis2" xfId="378"/>
    <cellStyle name="40% - Énfasis3" xfId="379"/>
    <cellStyle name="40% - Énfasis4" xfId="380"/>
    <cellStyle name="40% - Énfasis5" xfId="381"/>
    <cellStyle name="40% - Énfasis6" xfId="382"/>
    <cellStyle name="60% - Accent1" xfId="383"/>
    <cellStyle name="60% - Accent2" xfId="384"/>
    <cellStyle name="60% - Accent3" xfId="385"/>
    <cellStyle name="60% - Accent4" xfId="386"/>
    <cellStyle name="60% - Accent5" xfId="387"/>
    <cellStyle name="60% - Accent6" xfId="388"/>
    <cellStyle name="60% - Cor1" xfId="389"/>
    <cellStyle name="60% - Cor2" xfId="390"/>
    <cellStyle name="60% - Cor3" xfId="391"/>
    <cellStyle name="60% - Cor4" xfId="392"/>
    <cellStyle name="60% - Cor5" xfId="393"/>
    <cellStyle name="60% - Cor6" xfId="394"/>
    <cellStyle name="60% - Ênfase1 2" xfId="31"/>
    <cellStyle name="60% - Ênfase1 2 2" xfId="395"/>
    <cellStyle name="60% - Ênfase1 3" xfId="30"/>
    <cellStyle name="60% - Ênfase1 3 2" xfId="396"/>
    <cellStyle name="60% - Ênfase2 2" xfId="33"/>
    <cellStyle name="60% - Ênfase2 3" xfId="32"/>
    <cellStyle name="60% - Ênfase2 3 2" xfId="397"/>
    <cellStyle name="60% - Ênfase3 2" xfId="35"/>
    <cellStyle name="60% - Ênfase3 2 2" xfId="398"/>
    <cellStyle name="60% - Ênfase3 3" xfId="34"/>
    <cellStyle name="60% - Ênfase3 3 2" xfId="399"/>
    <cellStyle name="60% - Ênfase4 2" xfId="37"/>
    <cellStyle name="60% - Ênfase4 2 2" xfId="400"/>
    <cellStyle name="60% - Ênfase4 3" xfId="36"/>
    <cellStyle name="60% - Ênfase4 3 2" xfId="401"/>
    <cellStyle name="60% - Ênfase5 2" xfId="39"/>
    <cellStyle name="60% - Ênfase5 3" xfId="38"/>
    <cellStyle name="60% - Ênfase5 3 2" xfId="402"/>
    <cellStyle name="60% - Ênfase6 2" xfId="41"/>
    <cellStyle name="60% - Ênfase6 2 2" xfId="403"/>
    <cellStyle name="60% - Ênfase6 3" xfId="40"/>
    <cellStyle name="60% - Ênfase6 3 2" xfId="404"/>
    <cellStyle name="60% - Énfasis1" xfId="405"/>
    <cellStyle name="60% - Énfasis2" xfId="406"/>
    <cellStyle name="60% - Énfasis3" xfId="407"/>
    <cellStyle name="60% - Énfasis4" xfId="408"/>
    <cellStyle name="60% - Énfasis5" xfId="409"/>
    <cellStyle name="60% - Énfasis6" xfId="410"/>
    <cellStyle name="Accent1" xfId="411"/>
    <cellStyle name="Accent2" xfId="412"/>
    <cellStyle name="Accent3" xfId="413"/>
    <cellStyle name="Accent4" xfId="414"/>
    <cellStyle name="Accent5" xfId="415"/>
    <cellStyle name="Accent6" xfId="416"/>
    <cellStyle name="arrafo de 5" xfId="417"/>
    <cellStyle name="Bad" xfId="418"/>
    <cellStyle name="Bom 2" xfId="43"/>
    <cellStyle name="Bom 3" xfId="42"/>
    <cellStyle name="Bom 3 2" xfId="419"/>
    <cellStyle name="Buena" xfId="420"/>
    <cellStyle name="Cabe‡alho 1" xfId="421"/>
    <cellStyle name="Cabe‡alho 2" xfId="422"/>
    <cellStyle name="CABEÇALHO" xfId="423"/>
    <cellStyle name="Cabeçalho 1" xfId="424"/>
    <cellStyle name="Cabeçalho 2" xfId="425"/>
    <cellStyle name="Cabeçalho 3" xfId="426"/>
    <cellStyle name="Cabeçalho 3 2" xfId="427"/>
    <cellStyle name="Cabeçalho 4" xfId="428"/>
    <cellStyle name="Calculation" xfId="429"/>
    <cellStyle name="Cálculo 2" xfId="45"/>
    <cellStyle name="Cálculo 2 2" xfId="124"/>
    <cellStyle name="Cálculo 2 2 2" xfId="431"/>
    <cellStyle name="Cálculo 2 3" xfId="126"/>
    <cellStyle name="Cálculo 2 4" xfId="127"/>
    <cellStyle name="Cálculo 2 5" xfId="123"/>
    <cellStyle name="Cálculo 2 6" xfId="430"/>
    <cellStyle name="Cálculo 3" xfId="44"/>
    <cellStyle name="Cálculo 3 2" xfId="432"/>
    <cellStyle name="Cálculo 4" xfId="125"/>
    <cellStyle name="Cálculo 5" xfId="130"/>
    <cellStyle name="Cálculo 6" xfId="131"/>
    <cellStyle name="Cálculo 7" xfId="122"/>
    <cellStyle name="Cancel 2" xfId="433"/>
    <cellStyle name="category" xfId="434"/>
    <cellStyle name="Celda de comprobación" xfId="435"/>
    <cellStyle name="Celda vinculada" xfId="436"/>
    <cellStyle name="Célula de Verificação 2" xfId="47"/>
    <cellStyle name="Célula de Verificação 3" xfId="46"/>
    <cellStyle name="Célula de Verificação 3 2" xfId="437"/>
    <cellStyle name="Célula Ligada" xfId="438"/>
    <cellStyle name="Célula Vinculada 2" xfId="49"/>
    <cellStyle name="Célula Vinculada 3" xfId="48"/>
    <cellStyle name="Célula Vinculada 3 2" xfId="439"/>
    <cellStyle name="Check Cell" xfId="440"/>
    <cellStyle name="Comma" xfId="441"/>
    <cellStyle name="Comma [0]" xfId="442"/>
    <cellStyle name="Comma [0] 2" xfId="443"/>
    <cellStyle name="Comma_5 Series SW" xfId="444"/>
    <cellStyle name="Comma0" xfId="445"/>
    <cellStyle name="Company Logo" xfId="446"/>
    <cellStyle name="Cor1" xfId="447"/>
    <cellStyle name="Cor2" xfId="448"/>
    <cellStyle name="Cor3" xfId="449"/>
    <cellStyle name="Cor4" xfId="450"/>
    <cellStyle name="Cor5" xfId="451"/>
    <cellStyle name="Cor6" xfId="452"/>
    <cellStyle name="Correcto" xfId="453"/>
    <cellStyle name="CPU" xfId="454"/>
    <cellStyle name="Currency" xfId="455"/>
    <cellStyle name="Currency $" xfId="456"/>
    <cellStyle name="Currency [0]" xfId="457"/>
    <cellStyle name="Currency [0] 2" xfId="458"/>
    <cellStyle name="Currency_aola" xfId="459"/>
    <cellStyle name="Currency0" xfId="460"/>
    <cellStyle name="Data" xfId="461"/>
    <cellStyle name="Data Headings" xfId="462"/>
    <cellStyle name="Data Headings 2" xfId="463"/>
    <cellStyle name="Data Input" xfId="464"/>
    <cellStyle name="Date" xfId="465"/>
    <cellStyle name="Encabezado 4" xfId="466"/>
    <cellStyle name="Ênfase1 2" xfId="51"/>
    <cellStyle name="Ênfase1 2 2" xfId="467"/>
    <cellStyle name="Ênfase1 3" xfId="50"/>
    <cellStyle name="Ênfase1 3 2" xfId="468"/>
    <cellStyle name="Ênfase2 2" xfId="53"/>
    <cellStyle name="Ênfase2 3" xfId="52"/>
    <cellStyle name="Ênfase2 3 2" xfId="469"/>
    <cellStyle name="Ênfase3 2" xfId="55"/>
    <cellStyle name="Ênfase3 3" xfId="54"/>
    <cellStyle name="Ênfase3 3 2" xfId="470"/>
    <cellStyle name="Ênfase4 2" xfId="57"/>
    <cellStyle name="Ênfase4 2 2" xfId="471"/>
    <cellStyle name="Ênfase4 3" xfId="56"/>
    <cellStyle name="Ênfase4 3 2" xfId="472"/>
    <cellStyle name="Ênfase5 2" xfId="59"/>
    <cellStyle name="Ênfase5 3" xfId="58"/>
    <cellStyle name="Ênfase5 3 2" xfId="473"/>
    <cellStyle name="Ênfase6 2" xfId="61"/>
    <cellStyle name="Ênfase6 3" xfId="60"/>
    <cellStyle name="Ênfase6 3 2" xfId="474"/>
    <cellStyle name="Énfasis1" xfId="475"/>
    <cellStyle name="Énfasis2" xfId="476"/>
    <cellStyle name="Énfasis3" xfId="477"/>
    <cellStyle name="Énfasis4" xfId="478"/>
    <cellStyle name="Énfasis5" xfId="479"/>
    <cellStyle name="Énfasis6" xfId="480"/>
    <cellStyle name="Entrada 2" xfId="63"/>
    <cellStyle name="Entrada 2 2" xfId="116"/>
    <cellStyle name="Entrada 2 2 2" xfId="482"/>
    <cellStyle name="Entrada 2 3" xfId="120"/>
    <cellStyle name="Entrada 2 4" xfId="118"/>
    <cellStyle name="Entrada 2 5" xfId="135"/>
    <cellStyle name="Entrada 2 6" xfId="481"/>
    <cellStyle name="Entrada 3" xfId="62"/>
    <cellStyle name="Entrada 3 2" xfId="483"/>
    <cellStyle name="Entrada 4" xfId="117"/>
    <cellStyle name="Entrada 5" xfId="121"/>
    <cellStyle name="Entrada 6" xfId="119"/>
    <cellStyle name="Entrada 7" xfId="132"/>
    <cellStyle name="ESPECM" xfId="484"/>
    <cellStyle name="Estilo 1" xfId="485"/>
    <cellStyle name="Estilo 1 2" xfId="486"/>
    <cellStyle name="Estilo 1 2 2" xfId="487"/>
    <cellStyle name="Estilo 1 2 3" xfId="488"/>
    <cellStyle name="Estilo 1 3" xfId="489"/>
    <cellStyle name="Estilo 1 3 2" xfId="490"/>
    <cellStyle name="Estilo 1 3 3" xfId="491"/>
    <cellStyle name="Euro" xfId="64"/>
    <cellStyle name="Euro 2" xfId="493"/>
    <cellStyle name="Euro 3" xfId="494"/>
    <cellStyle name="Euro 4" xfId="492"/>
    <cellStyle name="Euro 5" xfId="2184"/>
    <cellStyle name="Euro_Dados" xfId="495"/>
    <cellStyle name="Explanatory Text" xfId="496"/>
    <cellStyle name="Fixed" xfId="497"/>
    <cellStyle name="Fixo" xfId="498"/>
    <cellStyle name="Followed Hyperlink" xfId="499"/>
    <cellStyle name="Gameleira" xfId="500"/>
    <cellStyle name="Good" xfId="501"/>
    <cellStyle name="Good 2" xfId="502"/>
    <cellStyle name="Grey" xfId="503"/>
    <cellStyle name="HEADER" xfId="504"/>
    <cellStyle name="Heading 1" xfId="505"/>
    <cellStyle name="Heading 2" xfId="506"/>
    <cellStyle name="Heading 3" xfId="507"/>
    <cellStyle name="Heading 4" xfId="508"/>
    <cellStyle name="Hiperlink 2" xfId="2189"/>
    <cellStyle name="Incorrecto" xfId="509"/>
    <cellStyle name="Incorreto 2" xfId="65"/>
    <cellStyle name="Incorreto 3" xfId="510"/>
    <cellStyle name="Indefinido" xfId="511"/>
    <cellStyle name="Input" xfId="512"/>
    <cellStyle name="Input [yellow]" xfId="513"/>
    <cellStyle name="ÌTENS" xfId="514"/>
    <cellStyle name="Linked Cell" xfId="515"/>
    <cellStyle name="material" xfId="516"/>
    <cellStyle name="Model" xfId="517"/>
    <cellStyle name="Moeda" xfId="2197" builtinId="4"/>
    <cellStyle name="Moeda 10 2" xfId="518"/>
    <cellStyle name="Moeda 19" xfId="519"/>
    <cellStyle name="Moeda 2" xfId="67"/>
    <cellStyle name="Moeda 2 10" xfId="521"/>
    <cellStyle name="Moeda 2 11" xfId="522"/>
    <cellStyle name="Moeda 2 12" xfId="523"/>
    <cellStyle name="Moeda 2 13" xfId="524"/>
    <cellStyle name="Moeda 2 13 2" xfId="525"/>
    <cellStyle name="Moeda 2 13 3" xfId="526"/>
    <cellStyle name="Moeda 2 13 3 2" xfId="527"/>
    <cellStyle name="Moeda 2 14" xfId="528"/>
    <cellStyle name="Moeda 2 15" xfId="529"/>
    <cellStyle name="Moeda 2 16" xfId="530"/>
    <cellStyle name="Moeda 2 17" xfId="531"/>
    <cellStyle name="Moeda 2 18" xfId="532"/>
    <cellStyle name="Moeda 2 19" xfId="533"/>
    <cellStyle name="Moeda 2 2" xfId="534"/>
    <cellStyle name="Moeda 2 2 10" xfId="535"/>
    <cellStyle name="Moeda 2 2 11" xfId="536"/>
    <cellStyle name="Moeda 2 2 2" xfId="537"/>
    <cellStyle name="Moeda 2 2 3" xfId="538"/>
    <cellStyle name="Moeda 2 2 4" xfId="539"/>
    <cellStyle name="Moeda 2 2 5" xfId="540"/>
    <cellStyle name="Moeda 2 2 6" xfId="541"/>
    <cellStyle name="Moeda 2 2 7" xfId="542"/>
    <cellStyle name="Moeda 2 2 8" xfId="543"/>
    <cellStyle name="Moeda 2 2 9" xfId="544"/>
    <cellStyle name="Moeda 2 20" xfId="545"/>
    <cellStyle name="Moeda 2 21" xfId="546"/>
    <cellStyle name="Moeda 2 22" xfId="547"/>
    <cellStyle name="Moeda 2 22 2" xfId="548"/>
    <cellStyle name="Moeda 2 23" xfId="549"/>
    <cellStyle name="Moeda 2 24" xfId="520"/>
    <cellStyle name="Moeda 2 25" xfId="2192"/>
    <cellStyle name="Moeda 2 3" xfId="550"/>
    <cellStyle name="Moeda 2 3 10" xfId="551"/>
    <cellStyle name="Moeda 2 3 2" xfId="552"/>
    <cellStyle name="Moeda 2 3 3" xfId="553"/>
    <cellStyle name="Moeda 2 3 4" xfId="554"/>
    <cellStyle name="Moeda 2 3 5" xfId="555"/>
    <cellStyle name="Moeda 2 3 6" xfId="556"/>
    <cellStyle name="Moeda 2 3 7" xfId="557"/>
    <cellStyle name="Moeda 2 3 8" xfId="558"/>
    <cellStyle name="Moeda 2 3 9" xfId="559"/>
    <cellStyle name="Moeda 2 4" xfId="560"/>
    <cellStyle name="Moeda 2 5" xfId="561"/>
    <cellStyle name="Moeda 2 6" xfId="562"/>
    <cellStyle name="Moeda 2 7" xfId="563"/>
    <cellStyle name="Moeda 2 8" xfId="564"/>
    <cellStyle name="Moeda 2 9" xfId="565"/>
    <cellStyle name="Moeda 2_Dados" xfId="566"/>
    <cellStyle name="Moeda 3" xfId="68"/>
    <cellStyle name="Moeda 3 10" xfId="568"/>
    <cellStyle name="Moeda 3 11" xfId="569"/>
    <cellStyle name="Moeda 3 12" xfId="570"/>
    <cellStyle name="Moeda 3 13" xfId="571"/>
    <cellStyle name="Moeda 3 14" xfId="567"/>
    <cellStyle name="Moeda 3 2" xfId="572"/>
    <cellStyle name="Moeda 3 2 10" xfId="573"/>
    <cellStyle name="Moeda 3 2 11" xfId="574"/>
    <cellStyle name="Moeda 3 2 2" xfId="575"/>
    <cellStyle name="Moeda 3 2 3" xfId="576"/>
    <cellStyle name="Moeda 3 2 4" xfId="577"/>
    <cellStyle name="Moeda 3 2 5" xfId="578"/>
    <cellStyle name="Moeda 3 2 6" xfId="579"/>
    <cellStyle name="Moeda 3 2 7" xfId="580"/>
    <cellStyle name="Moeda 3 2 8" xfId="581"/>
    <cellStyle name="Moeda 3 2 9" xfId="582"/>
    <cellStyle name="Moeda 3 3" xfId="583"/>
    <cellStyle name="Moeda 3 3 10" xfId="584"/>
    <cellStyle name="Moeda 3 3 2" xfId="585"/>
    <cellStyle name="Moeda 3 3 3" xfId="586"/>
    <cellStyle name="Moeda 3 3 4" xfId="587"/>
    <cellStyle name="Moeda 3 3 5" xfId="588"/>
    <cellStyle name="Moeda 3 3 6" xfId="589"/>
    <cellStyle name="Moeda 3 3 7" xfId="590"/>
    <cellStyle name="Moeda 3 3 8" xfId="591"/>
    <cellStyle name="Moeda 3 3 9" xfId="592"/>
    <cellStyle name="Moeda 3 4" xfId="593"/>
    <cellStyle name="Moeda 3 5" xfId="594"/>
    <cellStyle name="Moeda 3 6" xfId="595"/>
    <cellStyle name="Moeda 3 7" xfId="596"/>
    <cellStyle name="Moeda 3 8" xfId="597"/>
    <cellStyle name="Moeda 3 9" xfId="598"/>
    <cellStyle name="Moeda 3_Dados" xfId="599"/>
    <cellStyle name="Moeda 4" xfId="66"/>
    <cellStyle name="Moeda 4 2" xfId="600"/>
    <cellStyle name="Moeda 5" xfId="601"/>
    <cellStyle name="Moeda 6" xfId="602"/>
    <cellStyle name="Moeda 6 2" xfId="603"/>
    <cellStyle name="Moeda 6 2 2" xfId="604"/>
    <cellStyle name="Moeda 6 3" xfId="605"/>
    <cellStyle name="Moeda 7" xfId="606"/>
    <cellStyle name="Moeda 7 2" xfId="607"/>
    <cellStyle name="Moeda 8" xfId="2188"/>
    <cellStyle name="Moeda0" xfId="608"/>
    <cellStyle name="mpenho" xfId="609"/>
    <cellStyle name="Neutra 2" xfId="69"/>
    <cellStyle name="Neutra 3" xfId="610"/>
    <cellStyle name="Neutral" xfId="611"/>
    <cellStyle name="Normal" xfId="0" builtinId="0"/>
    <cellStyle name="Normal - Style1" xfId="612"/>
    <cellStyle name="Normal 10" xfId="613"/>
    <cellStyle name="Normal 10 2" xfId="614"/>
    <cellStyle name="Normal 10 3" xfId="615"/>
    <cellStyle name="Normal 108" xfId="616"/>
    <cellStyle name="Normal 11" xfId="617"/>
    <cellStyle name="Normal 11 2" xfId="618"/>
    <cellStyle name="Normal 12" xfId="619"/>
    <cellStyle name="Normal 12 2" xfId="620"/>
    <cellStyle name="Normal 12 3" xfId="621"/>
    <cellStyle name="Normal 13" xfId="622"/>
    <cellStyle name="Normal 13 2" xfId="623"/>
    <cellStyle name="Normal 14" xfId="624"/>
    <cellStyle name="Normal 14 2" xfId="625"/>
    <cellStyle name="Normal 15" xfId="626"/>
    <cellStyle name="Normal 16" xfId="627"/>
    <cellStyle name="Normal 16 10" xfId="628"/>
    <cellStyle name="Normal 16 11" xfId="629"/>
    <cellStyle name="Normal 16 12" xfId="630"/>
    <cellStyle name="Normal 16 13" xfId="631"/>
    <cellStyle name="Normal 16 14" xfId="632"/>
    <cellStyle name="Normal 16 15" xfId="633"/>
    <cellStyle name="Normal 16 16" xfId="634"/>
    <cellStyle name="Normal 16 17" xfId="635"/>
    <cellStyle name="Normal 16 18" xfId="636"/>
    <cellStyle name="Normal 16 19" xfId="637"/>
    <cellStyle name="Normal 16 2" xfId="638"/>
    <cellStyle name="Normal 16 20" xfId="639"/>
    <cellStyle name="Normal 16 21" xfId="640"/>
    <cellStyle name="Normal 16 22" xfId="641"/>
    <cellStyle name="Normal 16 23" xfId="642"/>
    <cellStyle name="Normal 16 24" xfId="643"/>
    <cellStyle name="Normal 16 25" xfId="644"/>
    <cellStyle name="Normal 16 26" xfId="645"/>
    <cellStyle name="Normal 16 27" xfId="646"/>
    <cellStyle name="Normal 16 28" xfId="647"/>
    <cellStyle name="Normal 16 29" xfId="648"/>
    <cellStyle name="Normal 16 3" xfId="649"/>
    <cellStyle name="Normal 16 30" xfId="650"/>
    <cellStyle name="Normal 16 31" xfId="651"/>
    <cellStyle name="Normal 16 32" xfId="652"/>
    <cellStyle name="Normal 16 33" xfId="653"/>
    <cellStyle name="Normal 16 34" xfId="654"/>
    <cellStyle name="Normal 16 35" xfId="655"/>
    <cellStyle name="Normal 16 36" xfId="656"/>
    <cellStyle name="Normal 16 37" xfId="657"/>
    <cellStyle name="Normal 16 38" xfId="658"/>
    <cellStyle name="Normal 16 39" xfId="659"/>
    <cellStyle name="Normal 16 4" xfId="660"/>
    <cellStyle name="Normal 16 5" xfId="661"/>
    <cellStyle name="Normal 16 6" xfId="662"/>
    <cellStyle name="Normal 16 7" xfId="663"/>
    <cellStyle name="Normal 16 8" xfId="664"/>
    <cellStyle name="Normal 16 9" xfId="665"/>
    <cellStyle name="Normal 16_12001 - Planilha orçamentária" xfId="666"/>
    <cellStyle name="Normal 17" xfId="667"/>
    <cellStyle name="Normal 18" xfId="668"/>
    <cellStyle name="Normal 182" xfId="669"/>
    <cellStyle name="Normal 19" xfId="670"/>
    <cellStyle name="Normal 19 10" xfId="671"/>
    <cellStyle name="Normal 19 11" xfId="672"/>
    <cellStyle name="Normal 19 12" xfId="673"/>
    <cellStyle name="Normal 19 13" xfId="674"/>
    <cellStyle name="Normal 19 14" xfId="675"/>
    <cellStyle name="Normal 19 15" xfId="676"/>
    <cellStyle name="Normal 19 16" xfId="677"/>
    <cellStyle name="Normal 19 17" xfId="678"/>
    <cellStyle name="Normal 19 18" xfId="679"/>
    <cellStyle name="Normal 19 19" xfId="680"/>
    <cellStyle name="Normal 19 2" xfId="681"/>
    <cellStyle name="Normal 19 20" xfId="682"/>
    <cellStyle name="Normal 19 21" xfId="683"/>
    <cellStyle name="Normal 19 22" xfId="684"/>
    <cellStyle name="Normal 19 23" xfId="685"/>
    <cellStyle name="Normal 19 24" xfId="686"/>
    <cellStyle name="Normal 19 25" xfId="687"/>
    <cellStyle name="Normal 19 26" xfId="688"/>
    <cellStyle name="Normal 19 27" xfId="689"/>
    <cellStyle name="Normal 19 28" xfId="690"/>
    <cellStyle name="Normal 19 29" xfId="691"/>
    <cellStyle name="Normal 19 3" xfId="692"/>
    <cellStyle name="Normal 19 30" xfId="693"/>
    <cellStyle name="Normal 19 31" xfId="694"/>
    <cellStyle name="Normal 19 32" xfId="695"/>
    <cellStyle name="Normal 19 33" xfId="696"/>
    <cellStyle name="Normal 19 34" xfId="697"/>
    <cellStyle name="Normal 19 35" xfId="698"/>
    <cellStyle name="Normal 19 36" xfId="699"/>
    <cellStyle name="Normal 19 37" xfId="700"/>
    <cellStyle name="Normal 19 38" xfId="701"/>
    <cellStyle name="Normal 19 4" xfId="702"/>
    <cellStyle name="Normal 19 5" xfId="703"/>
    <cellStyle name="Normal 19 6" xfId="704"/>
    <cellStyle name="Normal 19 7" xfId="705"/>
    <cellStyle name="Normal 19 8" xfId="706"/>
    <cellStyle name="Normal 19 9" xfId="707"/>
    <cellStyle name="Normal 19_12001 - Planilha orçamentária" xfId="708"/>
    <cellStyle name="Normal 2" xfId="4"/>
    <cellStyle name="Normal 2 10" xfId="710"/>
    <cellStyle name="Normal 2 11" xfId="711"/>
    <cellStyle name="Normal 2 12" xfId="712"/>
    <cellStyle name="Normal 2 13" xfId="713"/>
    <cellStyle name="Normal 2 14" xfId="714"/>
    <cellStyle name="Normal 2 15" xfId="715"/>
    <cellStyle name="Normal 2 16" xfId="716"/>
    <cellStyle name="Normal 2 17" xfId="717"/>
    <cellStyle name="Normal 2 18" xfId="718"/>
    <cellStyle name="Normal 2 19" xfId="719"/>
    <cellStyle name="Normal 2 2" xfId="720"/>
    <cellStyle name="Normal 2 2 2" xfId="721"/>
    <cellStyle name="Normal 2 2 3" xfId="722"/>
    <cellStyle name="Normal 2 2 4" xfId="723"/>
    <cellStyle name="Normal 2 2_Dados" xfId="724"/>
    <cellStyle name="Normal 2 20" xfId="725"/>
    <cellStyle name="Normal 2 21" xfId="726"/>
    <cellStyle name="Normal 2 22" xfId="727"/>
    <cellStyle name="Normal 2 23" xfId="728"/>
    <cellStyle name="Normal 2 24" xfId="709"/>
    <cellStyle name="Normal 2 3" xfId="729"/>
    <cellStyle name="Normal 2 3 2" xfId="730"/>
    <cellStyle name="Normal 2 4" xfId="731"/>
    <cellStyle name="Normal 2 4 2 3" xfId="732"/>
    <cellStyle name="Normal 2 5" xfId="733"/>
    <cellStyle name="Normal 2 5 10" xfId="734"/>
    <cellStyle name="Normal 2 5 2" xfId="735"/>
    <cellStyle name="Normal 2 5 3" xfId="736"/>
    <cellStyle name="Normal 2 5 4" xfId="737"/>
    <cellStyle name="Normal 2 5 5" xfId="738"/>
    <cellStyle name="Normal 2 5 6" xfId="739"/>
    <cellStyle name="Normal 2 5 7" xfId="740"/>
    <cellStyle name="Normal 2 5 8" xfId="741"/>
    <cellStyle name="Normal 2 5 9" xfId="742"/>
    <cellStyle name="Normal 2 6" xfId="743"/>
    <cellStyle name="Normal 2 7" xfId="744"/>
    <cellStyle name="Normal 2 8" xfId="745"/>
    <cellStyle name="Normal 2 9" xfId="746"/>
    <cellStyle name="Normal 2_1.0-MC-Adm_Obra" xfId="747"/>
    <cellStyle name="Normal 20" xfId="748"/>
    <cellStyle name="Normal 21" xfId="749"/>
    <cellStyle name="Normal 22" xfId="750"/>
    <cellStyle name="Normal 23" xfId="751"/>
    <cellStyle name="Normal 24" xfId="752"/>
    <cellStyle name="Normal 25" xfId="753"/>
    <cellStyle name="Normal 26" xfId="754"/>
    <cellStyle name="Normal 27" xfId="755"/>
    <cellStyle name="Normal 28" xfId="756"/>
    <cellStyle name="Normal 29" xfId="757"/>
    <cellStyle name="Normal 3" xfId="5"/>
    <cellStyle name="Normal 3 10" xfId="759"/>
    <cellStyle name="Normal 3 11" xfId="760"/>
    <cellStyle name="Normal 3 12" xfId="761"/>
    <cellStyle name="Normal 3 12 2" xfId="762"/>
    <cellStyle name="Normal 3 12 2 2" xfId="763"/>
    <cellStyle name="Normal 3 12 2 2 2" xfId="764"/>
    <cellStyle name="Normal 3 12 2 2 3" xfId="765"/>
    <cellStyle name="Normal 3 12 2 2_12001 - Planilha orçamentária" xfId="766"/>
    <cellStyle name="Normal 3 12 2 3" xfId="767"/>
    <cellStyle name="Normal 3 12 2 4" xfId="768"/>
    <cellStyle name="Normal 3 12 2_12001 - Planilha orçamentária" xfId="769"/>
    <cellStyle name="Normal 3 12 3" xfId="770"/>
    <cellStyle name="Normal 3 12 3 2" xfId="771"/>
    <cellStyle name="Normal 3 12 3 3" xfId="772"/>
    <cellStyle name="Normal 3 12 3_12001 - Planilha orçamentária" xfId="773"/>
    <cellStyle name="Normal 3 12 4" xfId="774"/>
    <cellStyle name="Normal 3 12 5" xfId="775"/>
    <cellStyle name="Normal 3 12_12001 - Planilha orçamentária" xfId="776"/>
    <cellStyle name="Normal 3 13" xfId="777"/>
    <cellStyle name="Normal 3 13 10" xfId="778"/>
    <cellStyle name="Normal 3 13 11" xfId="779"/>
    <cellStyle name="Normal 3 13 12" xfId="780"/>
    <cellStyle name="Normal 3 13 13" xfId="781"/>
    <cellStyle name="Normal 3 13 14" xfId="782"/>
    <cellStyle name="Normal 3 13 15" xfId="783"/>
    <cellStyle name="Normal 3 13 16" xfId="784"/>
    <cellStyle name="Normal 3 13 17" xfId="785"/>
    <cellStyle name="Normal 3 13 18" xfId="786"/>
    <cellStyle name="Normal 3 13 19" xfId="787"/>
    <cellStyle name="Normal 3 13 2" xfId="788"/>
    <cellStyle name="Normal 3 13 20" xfId="789"/>
    <cellStyle name="Normal 3 13 21" xfId="790"/>
    <cellStyle name="Normal 3 13 22" xfId="791"/>
    <cellStyle name="Normal 3 13 23" xfId="792"/>
    <cellStyle name="Normal 3 13 24" xfId="793"/>
    <cellStyle name="Normal 3 13 25" xfId="794"/>
    <cellStyle name="Normal 3 13 26" xfId="795"/>
    <cellStyle name="Normal 3 13 27" xfId="796"/>
    <cellStyle name="Normal 3 13 28" xfId="797"/>
    <cellStyle name="Normal 3 13 29" xfId="798"/>
    <cellStyle name="Normal 3 13 3" xfId="799"/>
    <cellStyle name="Normal 3 13 30" xfId="800"/>
    <cellStyle name="Normal 3 13 31" xfId="801"/>
    <cellStyle name="Normal 3 13 32" xfId="802"/>
    <cellStyle name="Normal 3 13 33" xfId="803"/>
    <cellStyle name="Normal 3 13 34" xfId="804"/>
    <cellStyle name="Normal 3 13 35" xfId="805"/>
    <cellStyle name="Normal 3 13 36" xfId="806"/>
    <cellStyle name="Normal 3 13 37" xfId="807"/>
    <cellStyle name="Normal 3 13 38" xfId="808"/>
    <cellStyle name="Normal 3 13 39" xfId="809"/>
    <cellStyle name="Normal 3 13 4" xfId="810"/>
    <cellStyle name="Normal 3 13 40" xfId="811"/>
    <cellStyle name="Normal 3 13 41" xfId="812"/>
    <cellStyle name="Normal 3 13 42" xfId="813"/>
    <cellStyle name="Normal 3 13 43" xfId="814"/>
    <cellStyle name="Normal 3 13 44" xfId="815"/>
    <cellStyle name="Normal 3 13 45" xfId="816"/>
    <cellStyle name="Normal 3 13 45 2" xfId="817"/>
    <cellStyle name="Normal 3 13 45 3" xfId="818"/>
    <cellStyle name="Normal 3 13 45_12001 - Planilha orçamentária" xfId="819"/>
    <cellStyle name="Normal 3 13 46" xfId="820"/>
    <cellStyle name="Normal 3 13 47" xfId="821"/>
    <cellStyle name="Normal 3 13 5" xfId="822"/>
    <cellStyle name="Normal 3 13 6" xfId="823"/>
    <cellStyle name="Normal 3 13 7" xfId="824"/>
    <cellStyle name="Normal 3 13 8" xfId="825"/>
    <cellStyle name="Normal 3 13 9" xfId="826"/>
    <cellStyle name="Normal 3 13_12001 - Planilha orçamentária" xfId="827"/>
    <cellStyle name="Normal 3 14" xfId="828"/>
    <cellStyle name="Normal 3 15" xfId="829"/>
    <cellStyle name="Normal 3 16" xfId="830"/>
    <cellStyle name="Normal 3 16 2" xfId="831"/>
    <cellStyle name="Normal 3 16 2 2" xfId="832"/>
    <cellStyle name="Normal 3 16 2 2 2" xfId="833"/>
    <cellStyle name="Normal 3 16 2 2 3" xfId="834"/>
    <cellStyle name="Normal 3 16 2 2_12001 - Planilha orçamentária" xfId="835"/>
    <cellStyle name="Normal 3 16 2 3" xfId="836"/>
    <cellStyle name="Normal 3 16 2 4" xfId="837"/>
    <cellStyle name="Normal 3 16 2_12001 - Planilha orçamentária" xfId="838"/>
    <cellStyle name="Normal 3 16 3" xfId="839"/>
    <cellStyle name="Normal 3 16 3 2" xfId="840"/>
    <cellStyle name="Normal 3 16 3 3" xfId="841"/>
    <cellStyle name="Normal 3 16 3_12001 - Planilha orçamentária" xfId="842"/>
    <cellStyle name="Normal 3 16 4" xfId="843"/>
    <cellStyle name="Normal 3 16 5" xfId="844"/>
    <cellStyle name="Normal 3 16_12001 - Planilha orçamentária" xfId="845"/>
    <cellStyle name="Normal 3 17" xfId="846"/>
    <cellStyle name="Normal 3 17 2" xfId="847"/>
    <cellStyle name="Normal 3 17 2 2" xfId="848"/>
    <cellStyle name="Normal 3 17 2 2 2" xfId="849"/>
    <cellStyle name="Normal 3 17 2 2 3" xfId="850"/>
    <cellStyle name="Normal 3 17 2 2_12001 - Planilha orçamentária" xfId="851"/>
    <cellStyle name="Normal 3 17 2 3" xfId="852"/>
    <cellStyle name="Normal 3 17 2 4" xfId="853"/>
    <cellStyle name="Normal 3 17 2_12001 - Planilha orçamentária" xfId="854"/>
    <cellStyle name="Normal 3 17 3" xfId="855"/>
    <cellStyle name="Normal 3 17 3 2" xfId="856"/>
    <cellStyle name="Normal 3 17 3 3" xfId="857"/>
    <cellStyle name="Normal 3 17 3_12001 - Planilha orçamentária" xfId="858"/>
    <cellStyle name="Normal 3 17 4" xfId="859"/>
    <cellStyle name="Normal 3 17 5" xfId="860"/>
    <cellStyle name="Normal 3 17_12001 - Planilha orçamentária" xfId="861"/>
    <cellStyle name="Normal 3 18" xfId="862"/>
    <cellStyle name="Normal 3 18 2" xfId="863"/>
    <cellStyle name="Normal 3 18 2 2" xfId="864"/>
    <cellStyle name="Normal 3 18 2 2 2" xfId="865"/>
    <cellStyle name="Normal 3 18 2 2 3" xfId="866"/>
    <cellStyle name="Normal 3 18 2 2_12001 - Planilha orçamentária" xfId="867"/>
    <cellStyle name="Normal 3 18 2 3" xfId="868"/>
    <cellStyle name="Normal 3 18 2 4" xfId="869"/>
    <cellStyle name="Normal 3 18 2_12001 - Planilha orçamentária" xfId="870"/>
    <cellStyle name="Normal 3 18 3" xfId="871"/>
    <cellStyle name="Normal 3 18 3 2" xfId="872"/>
    <cellStyle name="Normal 3 18 3 3" xfId="873"/>
    <cellStyle name="Normal 3 18 3_12001 - Planilha orçamentária" xfId="874"/>
    <cellStyle name="Normal 3 18 4" xfId="875"/>
    <cellStyle name="Normal 3 18 5" xfId="876"/>
    <cellStyle name="Normal 3 18_12001 - Planilha orçamentária" xfId="877"/>
    <cellStyle name="Normal 3 19" xfId="878"/>
    <cellStyle name="Normal 3 19 2" xfId="879"/>
    <cellStyle name="Normal 3 19 2 2" xfId="880"/>
    <cellStyle name="Normal 3 19 2 2 2" xfId="881"/>
    <cellStyle name="Normal 3 19 2 2 3" xfId="882"/>
    <cellStyle name="Normal 3 19 2 2_12001 - Planilha orçamentária" xfId="883"/>
    <cellStyle name="Normal 3 19 2 3" xfId="884"/>
    <cellStyle name="Normal 3 19 2 4" xfId="885"/>
    <cellStyle name="Normal 3 19 2_12001 - Planilha orçamentária" xfId="886"/>
    <cellStyle name="Normal 3 19 3" xfId="887"/>
    <cellStyle name="Normal 3 19 3 2" xfId="888"/>
    <cellStyle name="Normal 3 19 3 3" xfId="889"/>
    <cellStyle name="Normal 3 19 3_12001 - Planilha orçamentária" xfId="890"/>
    <cellStyle name="Normal 3 19 4" xfId="891"/>
    <cellStyle name="Normal 3 19 5" xfId="892"/>
    <cellStyle name="Normal 3 19_12001 - Planilha orçamentária" xfId="893"/>
    <cellStyle name="Normal 3 2" xfId="70"/>
    <cellStyle name="Normal 3 2 10" xfId="895"/>
    <cellStyle name="Normal 3 2 11" xfId="896"/>
    <cellStyle name="Normal 3 2 12" xfId="897"/>
    <cellStyle name="Normal 3 2 13" xfId="898"/>
    <cellStyle name="Normal 3 2 14" xfId="899"/>
    <cellStyle name="Normal 3 2 15" xfId="900"/>
    <cellStyle name="Normal 3 2 16" xfId="901"/>
    <cellStyle name="Normal 3 2 17" xfId="902"/>
    <cellStyle name="Normal 3 2 18" xfId="903"/>
    <cellStyle name="Normal 3 2 19" xfId="904"/>
    <cellStyle name="Normal 3 2 2" xfId="905"/>
    <cellStyle name="Normal 3 2 20" xfId="906"/>
    <cellStyle name="Normal 3 2 21" xfId="907"/>
    <cellStyle name="Normal 3 2 22" xfId="908"/>
    <cellStyle name="Normal 3 2 23" xfId="909"/>
    <cellStyle name="Normal 3 2 24" xfId="910"/>
    <cellStyle name="Normal 3 2 25" xfId="911"/>
    <cellStyle name="Normal 3 2 26" xfId="912"/>
    <cellStyle name="Normal 3 2 27" xfId="913"/>
    <cellStyle name="Normal 3 2 28" xfId="914"/>
    <cellStyle name="Normal 3 2 29" xfId="915"/>
    <cellStyle name="Normal 3 2 3" xfId="916"/>
    <cellStyle name="Normal 3 2 30" xfId="917"/>
    <cellStyle name="Normal 3 2 31" xfId="918"/>
    <cellStyle name="Normal 3 2 32" xfId="919"/>
    <cellStyle name="Normal 3 2 33" xfId="920"/>
    <cellStyle name="Normal 3 2 34" xfId="921"/>
    <cellStyle name="Normal 3 2 35" xfId="922"/>
    <cellStyle name="Normal 3 2 36" xfId="923"/>
    <cellStyle name="Normal 3 2 37" xfId="924"/>
    <cellStyle name="Normal 3 2 38" xfId="925"/>
    <cellStyle name="Normal 3 2 39" xfId="926"/>
    <cellStyle name="Normal 3 2 4" xfId="927"/>
    <cellStyle name="Normal 3 2 40" xfId="928"/>
    <cellStyle name="Normal 3 2 41" xfId="929"/>
    <cellStyle name="Normal 3 2 42" xfId="930"/>
    <cellStyle name="Normal 3 2 43" xfId="931"/>
    <cellStyle name="Normal 3 2 44" xfId="932"/>
    <cellStyle name="Normal 3 2 45" xfId="933"/>
    <cellStyle name="Normal 3 2 46" xfId="934"/>
    <cellStyle name="Normal 3 2 47" xfId="935"/>
    <cellStyle name="Normal 3 2 47 2" xfId="936"/>
    <cellStyle name="Normal 3 2 47 2 2" xfId="937"/>
    <cellStyle name="Normal 3 2 47 2 3" xfId="938"/>
    <cellStyle name="Normal 3 2 47 2_12001 - Planilha orçamentária" xfId="939"/>
    <cellStyle name="Normal 3 2 47 3" xfId="940"/>
    <cellStyle name="Normal 3 2 47 4" xfId="941"/>
    <cellStyle name="Normal 3 2 47_12001 - Planilha orçamentária" xfId="942"/>
    <cellStyle name="Normal 3 2 48" xfId="894"/>
    <cellStyle name="Normal 3 2 5" xfId="943"/>
    <cellStyle name="Normal 3 2 6" xfId="944"/>
    <cellStyle name="Normal 3 2 7" xfId="945"/>
    <cellStyle name="Normal 3 2 8" xfId="946"/>
    <cellStyle name="Normal 3 2 9" xfId="947"/>
    <cellStyle name="Normal 3 2_Dados" xfId="948"/>
    <cellStyle name="Normal 3 20" xfId="949"/>
    <cellStyle name="Normal 3 20 2" xfId="950"/>
    <cellStyle name="Normal 3 20 2 2" xfId="951"/>
    <cellStyle name="Normal 3 20 2 2 2" xfId="952"/>
    <cellStyle name="Normal 3 20 2 2 3" xfId="953"/>
    <cellStyle name="Normal 3 20 2 2_12001 - Planilha orçamentária" xfId="954"/>
    <cellStyle name="Normal 3 20 2 3" xfId="955"/>
    <cellStyle name="Normal 3 20 2 4" xfId="956"/>
    <cellStyle name="Normal 3 20 2_12001 - Planilha orçamentária" xfId="957"/>
    <cellStyle name="Normal 3 20 3" xfId="958"/>
    <cellStyle name="Normal 3 20 3 2" xfId="959"/>
    <cellStyle name="Normal 3 20 3 3" xfId="960"/>
    <cellStyle name="Normal 3 20 3_12001 - Planilha orçamentária" xfId="961"/>
    <cellStyle name="Normal 3 20 4" xfId="962"/>
    <cellStyle name="Normal 3 20 5" xfId="963"/>
    <cellStyle name="Normal 3 20_12001 - Planilha orçamentária" xfId="964"/>
    <cellStyle name="Normal 3 21" xfId="965"/>
    <cellStyle name="Normal 3 21 2" xfId="966"/>
    <cellStyle name="Normal 3 21 2 2" xfId="967"/>
    <cellStyle name="Normal 3 21 2 2 2" xfId="968"/>
    <cellStyle name="Normal 3 21 2 2 3" xfId="969"/>
    <cellStyle name="Normal 3 21 2 2_12001 - Planilha orçamentária" xfId="970"/>
    <cellStyle name="Normal 3 21 2 3" xfId="971"/>
    <cellStyle name="Normal 3 21 2 4" xfId="972"/>
    <cellStyle name="Normal 3 21 2_12001 - Planilha orçamentária" xfId="973"/>
    <cellStyle name="Normal 3 21 3" xfId="974"/>
    <cellStyle name="Normal 3 21 3 2" xfId="975"/>
    <cellStyle name="Normal 3 21 3 3" xfId="976"/>
    <cellStyle name="Normal 3 21 3_12001 - Planilha orçamentária" xfId="977"/>
    <cellStyle name="Normal 3 21 4" xfId="978"/>
    <cellStyle name="Normal 3 21 5" xfId="979"/>
    <cellStyle name="Normal 3 21_12001 - Planilha orçamentária" xfId="980"/>
    <cellStyle name="Normal 3 22" xfId="981"/>
    <cellStyle name="Normal 3 22 2" xfId="982"/>
    <cellStyle name="Normal 3 22 2 2" xfId="983"/>
    <cellStyle name="Normal 3 22 2 2 2" xfId="984"/>
    <cellStyle name="Normal 3 22 2 2 3" xfId="985"/>
    <cellStyle name="Normal 3 22 2 2_12001 - Planilha orçamentária" xfId="986"/>
    <cellStyle name="Normal 3 22 2 3" xfId="987"/>
    <cellStyle name="Normal 3 22 2 4" xfId="988"/>
    <cellStyle name="Normal 3 22 2_12001 - Planilha orçamentária" xfId="989"/>
    <cellStyle name="Normal 3 22 3" xfId="990"/>
    <cellStyle name="Normal 3 22 3 2" xfId="991"/>
    <cellStyle name="Normal 3 22 3 3" xfId="992"/>
    <cellStyle name="Normal 3 22 3_12001 - Planilha orçamentária" xfId="993"/>
    <cellStyle name="Normal 3 22 4" xfId="994"/>
    <cellStyle name="Normal 3 22 5" xfId="995"/>
    <cellStyle name="Normal 3 22_12001 - Planilha orçamentária" xfId="996"/>
    <cellStyle name="Normal 3 23" xfId="997"/>
    <cellStyle name="Normal 3 23 2" xfId="998"/>
    <cellStyle name="Normal 3 23 2 2" xfId="999"/>
    <cellStyle name="Normal 3 23 2 2 2" xfId="1000"/>
    <cellStyle name="Normal 3 23 2 2 3" xfId="1001"/>
    <cellStyle name="Normal 3 23 2 2_12001 - Planilha orçamentária" xfId="1002"/>
    <cellStyle name="Normal 3 23 2 3" xfId="1003"/>
    <cellStyle name="Normal 3 23 2 4" xfId="1004"/>
    <cellStyle name="Normal 3 23 2_12001 - Planilha orçamentária" xfId="1005"/>
    <cellStyle name="Normal 3 23 3" xfId="1006"/>
    <cellStyle name="Normal 3 23 3 2" xfId="1007"/>
    <cellStyle name="Normal 3 23 3 3" xfId="1008"/>
    <cellStyle name="Normal 3 23 3_12001 - Planilha orçamentária" xfId="1009"/>
    <cellStyle name="Normal 3 23 4" xfId="1010"/>
    <cellStyle name="Normal 3 23 5" xfId="1011"/>
    <cellStyle name="Normal 3 23_12001 - Planilha orçamentária" xfId="1012"/>
    <cellStyle name="Normal 3 24" xfId="1013"/>
    <cellStyle name="Normal 3 24 2" xfId="1014"/>
    <cellStyle name="Normal 3 24 2 2" xfId="1015"/>
    <cellStyle name="Normal 3 24 2 2 2" xfId="1016"/>
    <cellStyle name="Normal 3 24 2 2 3" xfId="1017"/>
    <cellStyle name="Normal 3 24 2 2_12001 - Planilha orçamentária" xfId="1018"/>
    <cellStyle name="Normal 3 24 2 3" xfId="1019"/>
    <cellStyle name="Normal 3 24 2 4" xfId="1020"/>
    <cellStyle name="Normal 3 24 2_12001 - Planilha orçamentária" xfId="1021"/>
    <cellStyle name="Normal 3 24 3" xfId="1022"/>
    <cellStyle name="Normal 3 24 3 2" xfId="1023"/>
    <cellStyle name="Normal 3 24 3 3" xfId="1024"/>
    <cellStyle name="Normal 3 24 3_12001 - Planilha orçamentária" xfId="1025"/>
    <cellStyle name="Normal 3 24 4" xfId="1026"/>
    <cellStyle name="Normal 3 24 5" xfId="1027"/>
    <cellStyle name="Normal 3 24_12001 - Planilha orçamentária" xfId="1028"/>
    <cellStyle name="Normal 3 25" xfId="1029"/>
    <cellStyle name="Normal 3 25 2" xfId="1030"/>
    <cellStyle name="Normal 3 25 2 2" xfId="1031"/>
    <cellStyle name="Normal 3 25 2 2 2" xfId="1032"/>
    <cellStyle name="Normal 3 25 2 2 3" xfId="1033"/>
    <cellStyle name="Normal 3 25 2 2_12001 - Planilha orçamentária" xfId="1034"/>
    <cellStyle name="Normal 3 25 2 3" xfId="1035"/>
    <cellStyle name="Normal 3 25 2 4" xfId="1036"/>
    <cellStyle name="Normal 3 25 2_12001 - Planilha orçamentária" xfId="1037"/>
    <cellStyle name="Normal 3 25 3" xfId="1038"/>
    <cellStyle name="Normal 3 25 3 2" xfId="1039"/>
    <cellStyle name="Normal 3 25 3 3" xfId="1040"/>
    <cellStyle name="Normal 3 25 3_12001 - Planilha orçamentária" xfId="1041"/>
    <cellStyle name="Normal 3 25 4" xfId="1042"/>
    <cellStyle name="Normal 3 25 5" xfId="1043"/>
    <cellStyle name="Normal 3 25_12001 - Planilha orçamentária" xfId="1044"/>
    <cellStyle name="Normal 3 26" xfId="1045"/>
    <cellStyle name="Normal 3 26 2" xfId="1046"/>
    <cellStyle name="Normal 3 26 2 2" xfId="1047"/>
    <cellStyle name="Normal 3 26 2 2 2" xfId="1048"/>
    <cellStyle name="Normal 3 26 2 2 3" xfId="1049"/>
    <cellStyle name="Normal 3 26 2 2_12001 - Planilha orçamentária" xfId="1050"/>
    <cellStyle name="Normal 3 26 2 3" xfId="1051"/>
    <cellStyle name="Normal 3 26 2 4" xfId="1052"/>
    <cellStyle name="Normal 3 26 2_12001 - Planilha orçamentária" xfId="1053"/>
    <cellStyle name="Normal 3 26 3" xfId="1054"/>
    <cellStyle name="Normal 3 26 3 2" xfId="1055"/>
    <cellStyle name="Normal 3 26 3 3" xfId="1056"/>
    <cellStyle name="Normal 3 26 3_12001 - Planilha orçamentária" xfId="1057"/>
    <cellStyle name="Normal 3 26 4" xfId="1058"/>
    <cellStyle name="Normal 3 26 5" xfId="1059"/>
    <cellStyle name="Normal 3 26_12001 - Planilha orçamentária" xfId="1060"/>
    <cellStyle name="Normal 3 27" xfId="1061"/>
    <cellStyle name="Normal 3 27 2" xfId="1062"/>
    <cellStyle name="Normal 3 27 2 2" xfId="1063"/>
    <cellStyle name="Normal 3 27 2 2 2" xfId="1064"/>
    <cellStyle name="Normal 3 27 2 2 3" xfId="1065"/>
    <cellStyle name="Normal 3 27 2 2_12001 - Planilha orçamentária" xfId="1066"/>
    <cellStyle name="Normal 3 27 2 3" xfId="1067"/>
    <cellStyle name="Normal 3 27 2 4" xfId="1068"/>
    <cellStyle name="Normal 3 27 2_12001 - Planilha orçamentária" xfId="1069"/>
    <cellStyle name="Normal 3 27 3" xfId="1070"/>
    <cellStyle name="Normal 3 27 3 2" xfId="1071"/>
    <cellStyle name="Normal 3 27 3 3" xfId="1072"/>
    <cellStyle name="Normal 3 27 3_12001 - Planilha orçamentária" xfId="1073"/>
    <cellStyle name="Normal 3 27 4" xfId="1074"/>
    <cellStyle name="Normal 3 27 5" xfId="1075"/>
    <cellStyle name="Normal 3 27_12001 - Planilha orçamentária" xfId="1076"/>
    <cellStyle name="Normal 3 28" xfId="1077"/>
    <cellStyle name="Normal 3 28 2" xfId="1078"/>
    <cellStyle name="Normal 3 28 2 2" xfId="1079"/>
    <cellStyle name="Normal 3 28 2 2 2" xfId="1080"/>
    <cellStyle name="Normal 3 28 2 2 3" xfId="1081"/>
    <cellStyle name="Normal 3 28 2 2_12001 - Planilha orçamentária" xfId="1082"/>
    <cellStyle name="Normal 3 28 2 3" xfId="1083"/>
    <cellStyle name="Normal 3 28 2 4" xfId="1084"/>
    <cellStyle name="Normal 3 28 2_12001 - Planilha orçamentária" xfId="1085"/>
    <cellStyle name="Normal 3 28 3" xfId="1086"/>
    <cellStyle name="Normal 3 28 3 2" xfId="1087"/>
    <cellStyle name="Normal 3 28 3 3" xfId="1088"/>
    <cellStyle name="Normal 3 28 3_12001 - Planilha orçamentária" xfId="1089"/>
    <cellStyle name="Normal 3 28 4" xfId="1090"/>
    <cellStyle name="Normal 3 28 5" xfId="1091"/>
    <cellStyle name="Normal 3 28_12001 - Planilha orçamentária" xfId="1092"/>
    <cellStyle name="Normal 3 29" xfId="1093"/>
    <cellStyle name="Normal 3 29 2" xfId="1094"/>
    <cellStyle name="Normal 3 29 2 2" xfId="1095"/>
    <cellStyle name="Normal 3 29 2 2 2" xfId="1096"/>
    <cellStyle name="Normal 3 29 2 2 3" xfId="1097"/>
    <cellStyle name="Normal 3 29 2 2_12001 - Planilha orçamentária" xfId="1098"/>
    <cellStyle name="Normal 3 29 2 3" xfId="1099"/>
    <cellStyle name="Normal 3 29 2 4" xfId="1100"/>
    <cellStyle name="Normal 3 29 2_12001 - Planilha orçamentária" xfId="1101"/>
    <cellStyle name="Normal 3 29 3" xfId="1102"/>
    <cellStyle name="Normal 3 29 3 2" xfId="1103"/>
    <cellStyle name="Normal 3 29 3 3" xfId="1104"/>
    <cellStyle name="Normal 3 29 3_12001 - Planilha orçamentária" xfId="1105"/>
    <cellStyle name="Normal 3 29 4" xfId="1106"/>
    <cellStyle name="Normal 3 29 5" xfId="1107"/>
    <cellStyle name="Normal 3 29_12001 - Planilha orçamentária" xfId="1108"/>
    <cellStyle name="Normal 3 3" xfId="1109"/>
    <cellStyle name="Normal 3 3 2" xfId="1110"/>
    <cellStyle name="Normal 3 3 3" xfId="1111"/>
    <cellStyle name="Normal 3 3 3 2" xfId="1112"/>
    <cellStyle name="Normal 3 3 3 2 2" xfId="1113"/>
    <cellStyle name="Normal 3 30" xfId="1114"/>
    <cellStyle name="Normal 3 30 2" xfId="1115"/>
    <cellStyle name="Normal 3 30 2 2" xfId="1116"/>
    <cellStyle name="Normal 3 30 2 2 2" xfId="1117"/>
    <cellStyle name="Normal 3 30 2 2 3" xfId="1118"/>
    <cellStyle name="Normal 3 30 2 2_12001 - Planilha orçamentária" xfId="1119"/>
    <cellStyle name="Normal 3 30 2 3" xfId="1120"/>
    <cellStyle name="Normal 3 30 2 4" xfId="1121"/>
    <cellStyle name="Normal 3 30 2_12001 - Planilha orçamentária" xfId="1122"/>
    <cellStyle name="Normal 3 30 3" xfId="1123"/>
    <cellStyle name="Normal 3 30 3 2" xfId="1124"/>
    <cellStyle name="Normal 3 30 3 3" xfId="1125"/>
    <cellStyle name="Normal 3 30 3_12001 - Planilha orçamentária" xfId="1126"/>
    <cellStyle name="Normal 3 30 4" xfId="1127"/>
    <cellStyle name="Normal 3 30 5" xfId="1128"/>
    <cellStyle name="Normal 3 30_12001 - Planilha orçamentária" xfId="1129"/>
    <cellStyle name="Normal 3 31" xfId="1130"/>
    <cellStyle name="Normal 3 31 2" xfId="1131"/>
    <cellStyle name="Normal 3 31 2 2" xfId="1132"/>
    <cellStyle name="Normal 3 31 2 2 2" xfId="1133"/>
    <cellStyle name="Normal 3 31 2 2 3" xfId="1134"/>
    <cellStyle name="Normal 3 31 2 2_12001 - Planilha orçamentária" xfId="1135"/>
    <cellStyle name="Normal 3 31 2 3" xfId="1136"/>
    <cellStyle name="Normal 3 31 2 4" xfId="1137"/>
    <cellStyle name="Normal 3 31 2_12001 - Planilha orçamentária" xfId="1138"/>
    <cellStyle name="Normal 3 31 3" xfId="1139"/>
    <cellStyle name="Normal 3 31 3 2" xfId="1140"/>
    <cellStyle name="Normal 3 31 3 3" xfId="1141"/>
    <cellStyle name="Normal 3 31 3_12001 - Planilha orçamentária" xfId="1142"/>
    <cellStyle name="Normal 3 31 4" xfId="1143"/>
    <cellStyle name="Normal 3 31 5" xfId="1144"/>
    <cellStyle name="Normal 3 31_12001 - Planilha orçamentária" xfId="1145"/>
    <cellStyle name="Normal 3 32" xfId="1146"/>
    <cellStyle name="Normal 3 32 2" xfId="1147"/>
    <cellStyle name="Normal 3 32 2 2" xfId="1148"/>
    <cellStyle name="Normal 3 32 2 2 2" xfId="1149"/>
    <cellStyle name="Normal 3 32 2 2 3" xfId="1150"/>
    <cellStyle name="Normal 3 32 2 2_12001 - Planilha orçamentária" xfId="1151"/>
    <cellStyle name="Normal 3 32 2 3" xfId="1152"/>
    <cellStyle name="Normal 3 32 2 4" xfId="1153"/>
    <cellStyle name="Normal 3 32 2_12001 - Planilha orçamentária" xfId="1154"/>
    <cellStyle name="Normal 3 32 3" xfId="1155"/>
    <cellStyle name="Normal 3 32 3 2" xfId="1156"/>
    <cellStyle name="Normal 3 32 3 3" xfId="1157"/>
    <cellStyle name="Normal 3 32 3_12001 - Planilha orçamentária" xfId="1158"/>
    <cellStyle name="Normal 3 32 4" xfId="1159"/>
    <cellStyle name="Normal 3 32 5" xfId="1160"/>
    <cellStyle name="Normal 3 32_12001 - Planilha orçamentária" xfId="1161"/>
    <cellStyle name="Normal 3 33" xfId="1162"/>
    <cellStyle name="Normal 3 33 2" xfId="1163"/>
    <cellStyle name="Normal 3 33 2 2" xfId="1164"/>
    <cellStyle name="Normal 3 33 2 2 2" xfId="1165"/>
    <cellStyle name="Normal 3 33 2 2 3" xfId="1166"/>
    <cellStyle name="Normal 3 33 2 2_12001 - Planilha orçamentária" xfId="1167"/>
    <cellStyle name="Normal 3 33 2 3" xfId="1168"/>
    <cellStyle name="Normal 3 33 2 4" xfId="1169"/>
    <cellStyle name="Normal 3 33 2_12001 - Planilha orçamentária" xfId="1170"/>
    <cellStyle name="Normal 3 33 3" xfId="1171"/>
    <cellStyle name="Normal 3 33 3 2" xfId="1172"/>
    <cellStyle name="Normal 3 33 3 3" xfId="1173"/>
    <cellStyle name="Normal 3 33 3_12001 - Planilha orçamentária" xfId="1174"/>
    <cellStyle name="Normal 3 33 4" xfId="1175"/>
    <cellStyle name="Normal 3 33 5" xfId="1176"/>
    <cellStyle name="Normal 3 33_12001 - Planilha orçamentária" xfId="1177"/>
    <cellStyle name="Normal 3 34" xfId="1178"/>
    <cellStyle name="Normal 3 34 2" xfId="1179"/>
    <cellStyle name="Normal 3 34 2 2" xfId="1180"/>
    <cellStyle name="Normal 3 34 2 2 2" xfId="1181"/>
    <cellStyle name="Normal 3 34 2 2 3" xfId="1182"/>
    <cellStyle name="Normal 3 34 2 2_12001 - Planilha orçamentária" xfId="1183"/>
    <cellStyle name="Normal 3 34 2 3" xfId="1184"/>
    <cellStyle name="Normal 3 34 2 4" xfId="1185"/>
    <cellStyle name="Normal 3 34 2_12001 - Planilha orçamentária" xfId="1186"/>
    <cellStyle name="Normal 3 34 3" xfId="1187"/>
    <cellStyle name="Normal 3 34 3 2" xfId="1188"/>
    <cellStyle name="Normal 3 34 3 3" xfId="1189"/>
    <cellStyle name="Normal 3 34 3_12001 - Planilha orçamentária" xfId="1190"/>
    <cellStyle name="Normal 3 34 4" xfId="1191"/>
    <cellStyle name="Normal 3 34 5" xfId="1192"/>
    <cellStyle name="Normal 3 34_12001 - Planilha orçamentária" xfId="1193"/>
    <cellStyle name="Normal 3 35" xfId="1194"/>
    <cellStyle name="Normal 3 35 2" xfId="1195"/>
    <cellStyle name="Normal 3 35 2 2" xfId="1196"/>
    <cellStyle name="Normal 3 35 2 2 2" xfId="1197"/>
    <cellStyle name="Normal 3 35 2 2 3" xfId="1198"/>
    <cellStyle name="Normal 3 35 2 2_12001 - Planilha orçamentária" xfId="1199"/>
    <cellStyle name="Normal 3 35 2 3" xfId="1200"/>
    <cellStyle name="Normal 3 35 2 4" xfId="1201"/>
    <cellStyle name="Normal 3 35 2_12001 - Planilha orçamentária" xfId="1202"/>
    <cellStyle name="Normal 3 35 3" xfId="1203"/>
    <cellStyle name="Normal 3 35 3 2" xfId="1204"/>
    <cellStyle name="Normal 3 35 3 3" xfId="1205"/>
    <cellStyle name="Normal 3 35 3_12001 - Planilha orçamentária" xfId="1206"/>
    <cellStyle name="Normal 3 35 4" xfId="1207"/>
    <cellStyle name="Normal 3 35 5" xfId="1208"/>
    <cellStyle name="Normal 3 35_12001 - Planilha orçamentária" xfId="1209"/>
    <cellStyle name="Normal 3 36" xfId="1210"/>
    <cellStyle name="Normal 3 36 2" xfId="1211"/>
    <cellStyle name="Normal 3 36 2 2" xfId="1212"/>
    <cellStyle name="Normal 3 36 2 2 2" xfId="1213"/>
    <cellStyle name="Normal 3 36 2 2 3" xfId="1214"/>
    <cellStyle name="Normal 3 36 2 2_12001 - Planilha orçamentária" xfId="1215"/>
    <cellStyle name="Normal 3 36 2 3" xfId="1216"/>
    <cellStyle name="Normal 3 36 2 4" xfId="1217"/>
    <cellStyle name="Normal 3 36 2_12001 - Planilha orçamentária" xfId="1218"/>
    <cellStyle name="Normal 3 36 3" xfId="1219"/>
    <cellStyle name="Normal 3 36 3 2" xfId="1220"/>
    <cellStyle name="Normal 3 36 3 3" xfId="1221"/>
    <cellStyle name="Normal 3 36 3_12001 - Planilha orçamentária" xfId="1222"/>
    <cellStyle name="Normal 3 36 4" xfId="1223"/>
    <cellStyle name="Normal 3 36 5" xfId="1224"/>
    <cellStyle name="Normal 3 36_12001 - Planilha orçamentária" xfId="1225"/>
    <cellStyle name="Normal 3 37" xfId="1226"/>
    <cellStyle name="Normal 3 37 2" xfId="1227"/>
    <cellStyle name="Normal 3 37 2 2" xfId="1228"/>
    <cellStyle name="Normal 3 37 2 2 2" xfId="1229"/>
    <cellStyle name="Normal 3 37 2 2 3" xfId="1230"/>
    <cellStyle name="Normal 3 37 2 2_12001 - Planilha orçamentária" xfId="1231"/>
    <cellStyle name="Normal 3 37 2 3" xfId="1232"/>
    <cellStyle name="Normal 3 37 2 4" xfId="1233"/>
    <cellStyle name="Normal 3 37 2_12001 - Planilha orçamentária" xfId="1234"/>
    <cellStyle name="Normal 3 37 3" xfId="1235"/>
    <cellStyle name="Normal 3 37 3 2" xfId="1236"/>
    <cellStyle name="Normal 3 37 3 3" xfId="1237"/>
    <cellStyle name="Normal 3 37 3_12001 - Planilha orçamentária" xfId="1238"/>
    <cellStyle name="Normal 3 37 4" xfId="1239"/>
    <cellStyle name="Normal 3 37 5" xfId="1240"/>
    <cellStyle name="Normal 3 37_12001 - Planilha orçamentária" xfId="1241"/>
    <cellStyle name="Normal 3 38" xfId="1242"/>
    <cellStyle name="Normal 3 38 2" xfId="1243"/>
    <cellStyle name="Normal 3 38 2 2" xfId="1244"/>
    <cellStyle name="Normal 3 38 2 2 2" xfId="1245"/>
    <cellStyle name="Normal 3 38 2 2 3" xfId="1246"/>
    <cellStyle name="Normal 3 38 2 2_12001 - Planilha orçamentária" xfId="1247"/>
    <cellStyle name="Normal 3 38 2 3" xfId="1248"/>
    <cellStyle name="Normal 3 38 2 4" xfId="1249"/>
    <cellStyle name="Normal 3 38 2_12001 - Planilha orçamentária" xfId="1250"/>
    <cellStyle name="Normal 3 38 3" xfId="1251"/>
    <cellStyle name="Normal 3 38 3 2" xfId="1252"/>
    <cellStyle name="Normal 3 38 3 3" xfId="1253"/>
    <cellStyle name="Normal 3 38 3_12001 - Planilha orçamentária" xfId="1254"/>
    <cellStyle name="Normal 3 38 4" xfId="1255"/>
    <cellStyle name="Normal 3 38 5" xfId="1256"/>
    <cellStyle name="Normal 3 38_12001 - Planilha orçamentária" xfId="1257"/>
    <cellStyle name="Normal 3 39" xfId="1258"/>
    <cellStyle name="Normal 3 39 2" xfId="1259"/>
    <cellStyle name="Normal 3 39 2 2" xfId="1260"/>
    <cellStyle name="Normal 3 39 2 2 2" xfId="1261"/>
    <cellStyle name="Normal 3 39 2 2 3" xfId="1262"/>
    <cellStyle name="Normal 3 39 2 2_12001 - Planilha orçamentária" xfId="1263"/>
    <cellStyle name="Normal 3 39 2 3" xfId="1264"/>
    <cellStyle name="Normal 3 39 2 4" xfId="1265"/>
    <cellStyle name="Normal 3 39 2_12001 - Planilha orçamentária" xfId="1266"/>
    <cellStyle name="Normal 3 39 3" xfId="1267"/>
    <cellStyle name="Normal 3 39 3 2" xfId="1268"/>
    <cellStyle name="Normal 3 39 3 3" xfId="1269"/>
    <cellStyle name="Normal 3 39 3_12001 - Planilha orçamentária" xfId="1270"/>
    <cellStyle name="Normal 3 39 4" xfId="1271"/>
    <cellStyle name="Normal 3 39 5" xfId="1272"/>
    <cellStyle name="Normal 3 39_12001 - Planilha orçamentária" xfId="1273"/>
    <cellStyle name="Normal 3 4" xfId="1274"/>
    <cellStyle name="Normal 3 40" xfId="1275"/>
    <cellStyle name="Normal 3 40 2" xfId="1276"/>
    <cellStyle name="Normal 3 40 2 2" xfId="1277"/>
    <cellStyle name="Normal 3 40 2 2 2" xfId="1278"/>
    <cellStyle name="Normal 3 40 2 2 3" xfId="1279"/>
    <cellStyle name="Normal 3 40 2 2_12001 - Planilha orçamentária" xfId="1280"/>
    <cellStyle name="Normal 3 40 2 3" xfId="1281"/>
    <cellStyle name="Normal 3 40 2 4" xfId="1282"/>
    <cellStyle name="Normal 3 40 2_12001 - Planilha orçamentária" xfId="1283"/>
    <cellStyle name="Normal 3 40 3" xfId="1284"/>
    <cellStyle name="Normal 3 40 3 2" xfId="1285"/>
    <cellStyle name="Normal 3 40 3 3" xfId="1286"/>
    <cellStyle name="Normal 3 40 3_12001 - Planilha orçamentária" xfId="1287"/>
    <cellStyle name="Normal 3 40 4" xfId="1288"/>
    <cellStyle name="Normal 3 40 5" xfId="1289"/>
    <cellStyle name="Normal 3 40_12001 - Planilha orçamentária" xfId="1290"/>
    <cellStyle name="Normal 3 41" xfId="1291"/>
    <cellStyle name="Normal 3 41 2" xfId="1292"/>
    <cellStyle name="Normal 3 41 2 2" xfId="1293"/>
    <cellStyle name="Normal 3 41 2 2 2" xfId="1294"/>
    <cellStyle name="Normal 3 41 2 2 3" xfId="1295"/>
    <cellStyle name="Normal 3 41 2 2_12001 - Planilha orçamentária" xfId="1296"/>
    <cellStyle name="Normal 3 41 2 3" xfId="1297"/>
    <cellStyle name="Normal 3 41 2 4" xfId="1298"/>
    <cellStyle name="Normal 3 41 2_12001 - Planilha orçamentária" xfId="1299"/>
    <cellStyle name="Normal 3 41 3" xfId="1300"/>
    <cellStyle name="Normal 3 41 3 2" xfId="1301"/>
    <cellStyle name="Normal 3 41 3 3" xfId="1302"/>
    <cellStyle name="Normal 3 41 3_12001 - Planilha orçamentária" xfId="1303"/>
    <cellStyle name="Normal 3 41 4" xfId="1304"/>
    <cellStyle name="Normal 3 41 5" xfId="1305"/>
    <cellStyle name="Normal 3 41_12001 - Planilha orçamentária" xfId="1306"/>
    <cellStyle name="Normal 3 42" xfId="1307"/>
    <cellStyle name="Normal 3 42 2" xfId="1308"/>
    <cellStyle name="Normal 3 42 2 2" xfId="1309"/>
    <cellStyle name="Normal 3 42 2 2 2" xfId="1310"/>
    <cellStyle name="Normal 3 42 2 2 3" xfId="1311"/>
    <cellStyle name="Normal 3 42 2 2_12001 - Planilha orçamentária" xfId="1312"/>
    <cellStyle name="Normal 3 42 2 3" xfId="1313"/>
    <cellStyle name="Normal 3 42 2 4" xfId="1314"/>
    <cellStyle name="Normal 3 42 2_12001 - Planilha orçamentária" xfId="1315"/>
    <cellStyle name="Normal 3 42 3" xfId="1316"/>
    <cellStyle name="Normal 3 42 3 2" xfId="1317"/>
    <cellStyle name="Normal 3 42 3 3" xfId="1318"/>
    <cellStyle name="Normal 3 42 3_12001 - Planilha orçamentária" xfId="1319"/>
    <cellStyle name="Normal 3 42 4" xfId="1320"/>
    <cellStyle name="Normal 3 42 5" xfId="1321"/>
    <cellStyle name="Normal 3 42_12001 - Planilha orçamentária" xfId="1322"/>
    <cellStyle name="Normal 3 43" xfId="1323"/>
    <cellStyle name="Normal 3 43 2" xfId="1324"/>
    <cellStyle name="Normal 3 43 2 2" xfId="1325"/>
    <cellStyle name="Normal 3 43 2 2 2" xfId="1326"/>
    <cellStyle name="Normal 3 43 2 2 3" xfId="1327"/>
    <cellStyle name="Normal 3 43 2 2_12001 - Planilha orçamentária" xfId="1328"/>
    <cellStyle name="Normal 3 43 2 3" xfId="1329"/>
    <cellStyle name="Normal 3 43 2 4" xfId="1330"/>
    <cellStyle name="Normal 3 43 2_12001 - Planilha orçamentária" xfId="1331"/>
    <cellStyle name="Normal 3 43 3" xfId="1332"/>
    <cellStyle name="Normal 3 43 3 2" xfId="1333"/>
    <cellStyle name="Normal 3 43 3 3" xfId="1334"/>
    <cellStyle name="Normal 3 43 3_12001 - Planilha orçamentária" xfId="1335"/>
    <cellStyle name="Normal 3 43 4" xfId="1336"/>
    <cellStyle name="Normal 3 43 5" xfId="1337"/>
    <cellStyle name="Normal 3 43_12001 - Planilha orçamentária" xfId="1338"/>
    <cellStyle name="Normal 3 44" xfId="1339"/>
    <cellStyle name="Normal 3 44 2" xfId="1340"/>
    <cellStyle name="Normal 3 44 2 2" xfId="1341"/>
    <cellStyle name="Normal 3 44 2 2 2" xfId="1342"/>
    <cellStyle name="Normal 3 44 2 2 3" xfId="1343"/>
    <cellStyle name="Normal 3 44 2 2_12001 - Planilha orçamentária" xfId="1344"/>
    <cellStyle name="Normal 3 44 2 3" xfId="1345"/>
    <cellStyle name="Normal 3 44 2 4" xfId="1346"/>
    <cellStyle name="Normal 3 44 2_12001 - Planilha orçamentária" xfId="1347"/>
    <cellStyle name="Normal 3 44 3" xfId="1348"/>
    <cellStyle name="Normal 3 44 3 2" xfId="1349"/>
    <cellStyle name="Normal 3 44 3 3" xfId="1350"/>
    <cellStyle name="Normal 3 44 3_12001 - Planilha orçamentária" xfId="1351"/>
    <cellStyle name="Normal 3 44 4" xfId="1352"/>
    <cellStyle name="Normal 3 44 5" xfId="1353"/>
    <cellStyle name="Normal 3 44_12001 - Planilha orçamentária" xfId="1354"/>
    <cellStyle name="Normal 3 45" xfId="1355"/>
    <cellStyle name="Normal 3 45 2" xfId="1356"/>
    <cellStyle name="Normal 3 45 2 2" xfId="1357"/>
    <cellStyle name="Normal 3 45 2 2 2" xfId="1358"/>
    <cellStyle name="Normal 3 45 2 2 3" xfId="1359"/>
    <cellStyle name="Normal 3 45 2 2_12001 - Planilha orçamentária" xfId="1360"/>
    <cellStyle name="Normal 3 45 2 3" xfId="1361"/>
    <cellStyle name="Normal 3 45 2 4" xfId="1362"/>
    <cellStyle name="Normal 3 45 2_12001 - Planilha orçamentária" xfId="1363"/>
    <cellStyle name="Normal 3 45 3" xfId="1364"/>
    <cellStyle name="Normal 3 45 3 2" xfId="1365"/>
    <cellStyle name="Normal 3 45 3 3" xfId="1366"/>
    <cellStyle name="Normal 3 45 3_12001 - Planilha orçamentária" xfId="1367"/>
    <cellStyle name="Normal 3 45 4" xfId="1368"/>
    <cellStyle name="Normal 3 45 5" xfId="1369"/>
    <cellStyle name="Normal 3 45_12001 - Planilha orçamentária" xfId="1370"/>
    <cellStyle name="Normal 3 46" xfId="1371"/>
    <cellStyle name="Normal 3 46 2" xfId="1372"/>
    <cellStyle name="Normal 3 46 2 2" xfId="1373"/>
    <cellStyle name="Normal 3 46 2 2 2" xfId="1374"/>
    <cellStyle name="Normal 3 46 2 2 3" xfId="1375"/>
    <cellStyle name="Normal 3 46 2 2_12001 - Planilha orçamentária" xfId="1376"/>
    <cellStyle name="Normal 3 46 2 3" xfId="1377"/>
    <cellStyle name="Normal 3 46 2 4" xfId="1378"/>
    <cellStyle name="Normal 3 46 2_12001 - Planilha orçamentária" xfId="1379"/>
    <cellStyle name="Normal 3 46 3" xfId="1380"/>
    <cellStyle name="Normal 3 46 3 2" xfId="1381"/>
    <cellStyle name="Normal 3 46 3 3" xfId="1382"/>
    <cellStyle name="Normal 3 46 3_12001 - Planilha orçamentária" xfId="1383"/>
    <cellStyle name="Normal 3 46 4" xfId="1384"/>
    <cellStyle name="Normal 3 46 5" xfId="1385"/>
    <cellStyle name="Normal 3 46_12001 - Planilha orçamentária" xfId="1386"/>
    <cellStyle name="Normal 3 47" xfId="1387"/>
    <cellStyle name="Normal 3 47 2" xfId="1388"/>
    <cellStyle name="Normal 3 47 2 2" xfId="1389"/>
    <cellStyle name="Normal 3 47 2 2 2" xfId="1390"/>
    <cellStyle name="Normal 3 47 2 2 3" xfId="1391"/>
    <cellStyle name="Normal 3 47 2 2_12001 - Planilha orçamentária" xfId="1392"/>
    <cellStyle name="Normal 3 47 2 3" xfId="1393"/>
    <cellStyle name="Normal 3 47 2 4" xfId="1394"/>
    <cellStyle name="Normal 3 47 2_12001 - Planilha orçamentária" xfId="1395"/>
    <cellStyle name="Normal 3 47 3" xfId="1396"/>
    <cellStyle name="Normal 3 47 3 2" xfId="1397"/>
    <cellStyle name="Normal 3 47 3 3" xfId="1398"/>
    <cellStyle name="Normal 3 47 3_12001 - Planilha orçamentária" xfId="1399"/>
    <cellStyle name="Normal 3 47 4" xfId="1400"/>
    <cellStyle name="Normal 3 47 5" xfId="1401"/>
    <cellStyle name="Normal 3 47_12001 - Planilha orçamentária" xfId="1402"/>
    <cellStyle name="Normal 3 48" xfId="1403"/>
    <cellStyle name="Normal 3 48 2" xfId="1404"/>
    <cellStyle name="Normal 3 48 2 2" xfId="1405"/>
    <cellStyle name="Normal 3 48 2 2 2" xfId="1406"/>
    <cellStyle name="Normal 3 48 2 2 3" xfId="1407"/>
    <cellStyle name="Normal 3 48 2 2_12001 - Planilha orçamentária" xfId="1408"/>
    <cellStyle name="Normal 3 48 2 3" xfId="1409"/>
    <cellStyle name="Normal 3 48 2 4" xfId="1410"/>
    <cellStyle name="Normal 3 48 2_12001 - Planilha orçamentária" xfId="1411"/>
    <cellStyle name="Normal 3 48 3" xfId="1412"/>
    <cellStyle name="Normal 3 48 3 2" xfId="1413"/>
    <cellStyle name="Normal 3 48 3 3" xfId="1414"/>
    <cellStyle name="Normal 3 48 3_12001 - Planilha orçamentária" xfId="1415"/>
    <cellStyle name="Normal 3 48 4" xfId="1416"/>
    <cellStyle name="Normal 3 48 5" xfId="1417"/>
    <cellStyle name="Normal 3 48_12001 - Planilha orçamentária" xfId="1418"/>
    <cellStyle name="Normal 3 49" xfId="1419"/>
    <cellStyle name="Normal 3 49 2" xfId="1420"/>
    <cellStyle name="Normal 3 49 2 2" xfId="1421"/>
    <cellStyle name="Normal 3 49 2 2 2" xfId="1422"/>
    <cellStyle name="Normal 3 49 2 2 3" xfId="1423"/>
    <cellStyle name="Normal 3 49 2 2_12001 - Planilha orçamentária" xfId="1424"/>
    <cellStyle name="Normal 3 49 2 3" xfId="1425"/>
    <cellStyle name="Normal 3 49 2 4" xfId="1426"/>
    <cellStyle name="Normal 3 49 2_12001 - Planilha orçamentária" xfId="1427"/>
    <cellStyle name="Normal 3 49 3" xfId="1428"/>
    <cellStyle name="Normal 3 49 3 2" xfId="1429"/>
    <cellStyle name="Normal 3 49 3 3" xfId="1430"/>
    <cellStyle name="Normal 3 49 3_12001 - Planilha orçamentária" xfId="1431"/>
    <cellStyle name="Normal 3 49 4" xfId="1432"/>
    <cellStyle name="Normal 3 49 5" xfId="1433"/>
    <cellStyle name="Normal 3 49_12001 - Planilha orçamentária" xfId="1434"/>
    <cellStyle name="Normal 3 5" xfId="1435"/>
    <cellStyle name="Normal 3 50" xfId="1436"/>
    <cellStyle name="Normal 3 50 2" xfId="1437"/>
    <cellStyle name="Normal 3 50 2 2" xfId="1438"/>
    <cellStyle name="Normal 3 50 2 2 2" xfId="1439"/>
    <cellStyle name="Normal 3 50 2 2 3" xfId="1440"/>
    <cellStyle name="Normal 3 50 2 2_12001 - Planilha orçamentária" xfId="1441"/>
    <cellStyle name="Normal 3 50 2 3" xfId="1442"/>
    <cellStyle name="Normal 3 50 2 4" xfId="1443"/>
    <cellStyle name="Normal 3 50 2_12001 - Planilha orçamentária" xfId="1444"/>
    <cellStyle name="Normal 3 50 3" xfId="1445"/>
    <cellStyle name="Normal 3 50 3 2" xfId="1446"/>
    <cellStyle name="Normal 3 50 3 3" xfId="1447"/>
    <cellStyle name="Normal 3 50 3_12001 - Planilha orçamentária" xfId="1448"/>
    <cellStyle name="Normal 3 50 4" xfId="1449"/>
    <cellStyle name="Normal 3 50 5" xfId="1450"/>
    <cellStyle name="Normal 3 50_12001 - Planilha orçamentária" xfId="1451"/>
    <cellStyle name="Normal 3 51" xfId="1452"/>
    <cellStyle name="Normal 3 51 2" xfId="1453"/>
    <cellStyle name="Normal 3 51 2 2" xfId="1454"/>
    <cellStyle name="Normal 3 51 2 2 2" xfId="1455"/>
    <cellStyle name="Normal 3 51 2 2 3" xfId="1456"/>
    <cellStyle name="Normal 3 51 2 2_12001 - Planilha orçamentária" xfId="1457"/>
    <cellStyle name="Normal 3 51 2 3" xfId="1458"/>
    <cellStyle name="Normal 3 51 2 4" xfId="1459"/>
    <cellStyle name="Normal 3 51 2_12001 - Planilha orçamentária" xfId="1460"/>
    <cellStyle name="Normal 3 51 3" xfId="1461"/>
    <cellStyle name="Normal 3 51 3 2" xfId="1462"/>
    <cellStyle name="Normal 3 51 3 3" xfId="1463"/>
    <cellStyle name="Normal 3 51 3_12001 - Planilha orçamentária" xfId="1464"/>
    <cellStyle name="Normal 3 51 4" xfId="1465"/>
    <cellStyle name="Normal 3 51 5" xfId="1466"/>
    <cellStyle name="Normal 3 51_12001 - Planilha orçamentária" xfId="1467"/>
    <cellStyle name="Normal 3 52" xfId="1468"/>
    <cellStyle name="Normal 3 52 2" xfId="1469"/>
    <cellStyle name="Normal 3 52 2 2" xfId="1470"/>
    <cellStyle name="Normal 3 52 2 2 2" xfId="1471"/>
    <cellStyle name="Normal 3 52 2 2 3" xfId="1472"/>
    <cellStyle name="Normal 3 52 2 2_12001 - Planilha orçamentária" xfId="1473"/>
    <cellStyle name="Normal 3 52 2 3" xfId="1474"/>
    <cellStyle name="Normal 3 52 2 4" xfId="1475"/>
    <cellStyle name="Normal 3 52 2_12001 - Planilha orçamentária" xfId="1476"/>
    <cellStyle name="Normal 3 52 3" xfId="1477"/>
    <cellStyle name="Normal 3 52 3 2" xfId="1478"/>
    <cellStyle name="Normal 3 52 3 3" xfId="1479"/>
    <cellStyle name="Normal 3 52 3_12001 - Planilha orçamentária" xfId="1480"/>
    <cellStyle name="Normal 3 52 4" xfId="1481"/>
    <cellStyle name="Normal 3 52 5" xfId="1482"/>
    <cellStyle name="Normal 3 52_12001 - Planilha orçamentária" xfId="1483"/>
    <cellStyle name="Normal 3 53" xfId="1484"/>
    <cellStyle name="Normal 3 53 2" xfId="1485"/>
    <cellStyle name="Normal 3 53 2 2" xfId="1486"/>
    <cellStyle name="Normal 3 53 2 2 2" xfId="1487"/>
    <cellStyle name="Normal 3 53 2 2 3" xfId="1488"/>
    <cellStyle name="Normal 3 53 2 2_12001 - Planilha orçamentária" xfId="1489"/>
    <cellStyle name="Normal 3 53 2 3" xfId="1490"/>
    <cellStyle name="Normal 3 53 2 4" xfId="1491"/>
    <cellStyle name="Normal 3 53 2_12001 - Planilha orçamentária" xfId="1492"/>
    <cellStyle name="Normal 3 53 3" xfId="1493"/>
    <cellStyle name="Normal 3 53 3 2" xfId="1494"/>
    <cellStyle name="Normal 3 53 3 3" xfId="1495"/>
    <cellStyle name="Normal 3 53 3_12001 - Planilha orçamentária" xfId="1496"/>
    <cellStyle name="Normal 3 53 4" xfId="1497"/>
    <cellStyle name="Normal 3 53 5" xfId="1498"/>
    <cellStyle name="Normal 3 53_12001 - Planilha orçamentária" xfId="1499"/>
    <cellStyle name="Normal 3 54" xfId="1500"/>
    <cellStyle name="Normal 3 54 2" xfId="1501"/>
    <cellStyle name="Normal 3 54 2 2" xfId="1502"/>
    <cellStyle name="Normal 3 54 2 2 2" xfId="1503"/>
    <cellStyle name="Normal 3 54 2 2 3" xfId="1504"/>
    <cellStyle name="Normal 3 54 2 2_12001 - Planilha orçamentária" xfId="1505"/>
    <cellStyle name="Normal 3 54 2 3" xfId="1506"/>
    <cellStyle name="Normal 3 54 2 4" xfId="1507"/>
    <cellStyle name="Normal 3 54 2_12001 - Planilha orçamentária" xfId="1508"/>
    <cellStyle name="Normal 3 54 3" xfId="1509"/>
    <cellStyle name="Normal 3 54 3 2" xfId="1510"/>
    <cellStyle name="Normal 3 54 3 3" xfId="1511"/>
    <cellStyle name="Normal 3 54 3_12001 - Planilha orçamentária" xfId="1512"/>
    <cellStyle name="Normal 3 54 4" xfId="1513"/>
    <cellStyle name="Normal 3 54 5" xfId="1514"/>
    <cellStyle name="Normal 3 54_12001 - Planilha orçamentária" xfId="1515"/>
    <cellStyle name="Normal 3 55" xfId="1516"/>
    <cellStyle name="Normal 3 55 2" xfId="1517"/>
    <cellStyle name="Normal 3 55 2 2" xfId="1518"/>
    <cellStyle name="Normal 3 55 2 2 2" xfId="1519"/>
    <cellStyle name="Normal 3 55 2 2 3" xfId="1520"/>
    <cellStyle name="Normal 3 55 2 2_12001 - Planilha orçamentária" xfId="1521"/>
    <cellStyle name="Normal 3 55 2 3" xfId="1522"/>
    <cellStyle name="Normal 3 55 2 4" xfId="1523"/>
    <cellStyle name="Normal 3 55 2_12001 - Planilha orçamentária" xfId="1524"/>
    <cellStyle name="Normal 3 55 3" xfId="1525"/>
    <cellStyle name="Normal 3 55 3 2" xfId="1526"/>
    <cellStyle name="Normal 3 55 3 3" xfId="1527"/>
    <cellStyle name="Normal 3 55 3_12001 - Planilha orçamentária" xfId="1528"/>
    <cellStyle name="Normal 3 55 4" xfId="1529"/>
    <cellStyle name="Normal 3 55 5" xfId="1530"/>
    <cellStyle name="Normal 3 55_12001 - Planilha orçamentária" xfId="1531"/>
    <cellStyle name="Normal 3 56" xfId="1532"/>
    <cellStyle name="Normal 3 56 2" xfId="1533"/>
    <cellStyle name="Normal 3 56 2 2" xfId="1534"/>
    <cellStyle name="Normal 3 56 2 2 2" xfId="1535"/>
    <cellStyle name="Normal 3 56 2 2 3" xfId="1536"/>
    <cellStyle name="Normal 3 56 2 2_12001 - Planilha orçamentária" xfId="1537"/>
    <cellStyle name="Normal 3 56 2 3" xfId="1538"/>
    <cellStyle name="Normal 3 56 2 4" xfId="1539"/>
    <cellStyle name="Normal 3 56 2_12001 - Planilha orçamentária" xfId="1540"/>
    <cellStyle name="Normal 3 56 3" xfId="1541"/>
    <cellStyle name="Normal 3 56 3 2" xfId="1542"/>
    <cellStyle name="Normal 3 56 3 3" xfId="1543"/>
    <cellStyle name="Normal 3 56 3_12001 - Planilha orçamentária" xfId="1544"/>
    <cellStyle name="Normal 3 56 4" xfId="1545"/>
    <cellStyle name="Normal 3 56 5" xfId="1546"/>
    <cellStyle name="Normal 3 56_12001 - Planilha orçamentária" xfId="1547"/>
    <cellStyle name="Normal 3 57" xfId="1548"/>
    <cellStyle name="Normal 3 57 2" xfId="1549"/>
    <cellStyle name="Normal 3 57 2 2" xfId="1550"/>
    <cellStyle name="Normal 3 57 2 2 2" xfId="1551"/>
    <cellStyle name="Normal 3 57 2 2 3" xfId="1552"/>
    <cellStyle name="Normal 3 57 2 2_12001 - Planilha orçamentária" xfId="1553"/>
    <cellStyle name="Normal 3 57 2 3" xfId="1554"/>
    <cellStyle name="Normal 3 57 2 4" xfId="1555"/>
    <cellStyle name="Normal 3 57 2_12001 - Planilha orçamentária" xfId="1556"/>
    <cellStyle name="Normal 3 57 3" xfId="1557"/>
    <cellStyle name="Normal 3 57 3 2" xfId="1558"/>
    <cellStyle name="Normal 3 57 3 3" xfId="1559"/>
    <cellStyle name="Normal 3 57 3_12001 - Planilha orçamentária" xfId="1560"/>
    <cellStyle name="Normal 3 57 4" xfId="1561"/>
    <cellStyle name="Normal 3 57 5" xfId="1562"/>
    <cellStyle name="Normal 3 57_12001 - Planilha orçamentária" xfId="1563"/>
    <cellStyle name="Normal 3 58" xfId="1564"/>
    <cellStyle name="Normal 3 58 2" xfId="1565"/>
    <cellStyle name="Normal 3 58 2 2" xfId="1566"/>
    <cellStyle name="Normal 3 58 2 3" xfId="1567"/>
    <cellStyle name="Normal 3 58 2_12001 - Planilha orçamentária" xfId="1568"/>
    <cellStyle name="Normal 3 58 3" xfId="1569"/>
    <cellStyle name="Normal 3 58 4" xfId="1570"/>
    <cellStyle name="Normal 3 58_12001 - Planilha orçamentária" xfId="1571"/>
    <cellStyle name="Normal 3 59" xfId="1572"/>
    <cellStyle name="Normal 3 6" xfId="1573"/>
    <cellStyle name="Normal 3 60" xfId="1574"/>
    <cellStyle name="Normal 3 61" xfId="1575"/>
    <cellStyle name="Normal 3 62" xfId="758"/>
    <cellStyle name="Normal 3 63" xfId="2190"/>
    <cellStyle name="Normal 3 7" xfId="1576"/>
    <cellStyle name="Normal 3 8" xfId="1577"/>
    <cellStyle name="Normal 3 9" xfId="1578"/>
    <cellStyle name="Normal 3_1.0-MC-Adm_Obra" xfId="1579"/>
    <cellStyle name="Normal 30" xfId="1580"/>
    <cellStyle name="Normal 31" xfId="1581"/>
    <cellStyle name="Normal 32" xfId="1582"/>
    <cellStyle name="Normal 33" xfId="1583"/>
    <cellStyle name="Normal 34" xfId="1584"/>
    <cellStyle name="Normal 35" xfId="1585"/>
    <cellStyle name="Normal 36" xfId="1586"/>
    <cellStyle name="Normal 37" xfId="1587"/>
    <cellStyle name="Normal 38" xfId="1588"/>
    <cellStyle name="Normal 39" xfId="1589"/>
    <cellStyle name="Normal 4" xfId="3"/>
    <cellStyle name="Normal 4 10" xfId="1590"/>
    <cellStyle name="Normal 4 11" xfId="1591"/>
    <cellStyle name="Normal 4 12" xfId="1592"/>
    <cellStyle name="Normal 4 13" xfId="1593"/>
    <cellStyle name="Normal 4 14" xfId="1594"/>
    <cellStyle name="Normal 4 2" xfId="1595"/>
    <cellStyle name="Normal 4 2 2" xfId="1596"/>
    <cellStyle name="Normal 4 2 3" xfId="1597"/>
    <cellStyle name="Normal 4 3" xfId="1598"/>
    <cellStyle name="Normal 4 3 2" xfId="1599"/>
    <cellStyle name="Normal 4 4" xfId="1600"/>
    <cellStyle name="Normal 4 5" xfId="1601"/>
    <cellStyle name="Normal 4 6" xfId="1602"/>
    <cellStyle name="Normal 4 7" xfId="1603"/>
    <cellStyle name="Normal 4 8" xfId="1604"/>
    <cellStyle name="Normal 4 9" xfId="1605"/>
    <cellStyle name="Normal 4_Dados" xfId="1606"/>
    <cellStyle name="Normal 40" xfId="1607"/>
    <cellStyle name="Normal 41" xfId="1608"/>
    <cellStyle name="Normal 42" xfId="1609"/>
    <cellStyle name="Normal 43" xfId="1610"/>
    <cellStyle name="Normal 44" xfId="1611"/>
    <cellStyle name="Normal 45" xfId="1612"/>
    <cellStyle name="Normal 45 2" xfId="1613"/>
    <cellStyle name="Normal 46" xfId="1614"/>
    <cellStyle name="Normal 47" xfId="1615"/>
    <cellStyle name="Normal 48" xfId="1616"/>
    <cellStyle name="Normal 49" xfId="1617"/>
    <cellStyle name="Normal 5" xfId="97"/>
    <cellStyle name="Normal 5 2" xfId="1619"/>
    <cellStyle name="Normal 5 2 2" xfId="2185"/>
    <cellStyle name="Normal 5 3" xfId="1620"/>
    <cellStyle name="Normal 5 3 2" xfId="1621"/>
    <cellStyle name="Normal 5 3 2 2" xfId="1622"/>
    <cellStyle name="Normal 5 3 2 3" xfId="1623"/>
    <cellStyle name="Normal 5 3 3" xfId="1624"/>
    <cellStyle name="Normal 5 3 4" xfId="1625"/>
    <cellStyle name="Normal 5 4" xfId="1626"/>
    <cellStyle name="Normal 5 4 2" xfId="1627"/>
    <cellStyle name="Normal 5 4 3" xfId="1628"/>
    <cellStyle name="Normal 5 5" xfId="1629"/>
    <cellStyle name="Normal 5 6" xfId="1630"/>
    <cellStyle name="Normal 5 7" xfId="1618"/>
    <cellStyle name="Normal 5_Dados" xfId="1631"/>
    <cellStyle name="Normal 50" xfId="1632"/>
    <cellStyle name="Normal 51" xfId="1633"/>
    <cellStyle name="Normal 51 2" xfId="1634"/>
    <cellStyle name="Normal 52" xfId="1635"/>
    <cellStyle name="Normal 53" xfId="1636"/>
    <cellStyle name="Normal 54" xfId="1637"/>
    <cellStyle name="Normal 54 2" xfId="1638"/>
    <cellStyle name="Normal 55" xfId="1639"/>
    <cellStyle name="Normal 56" xfId="138"/>
    <cellStyle name="Normal 57" xfId="1640"/>
    <cellStyle name="Normal 58" xfId="2048"/>
    <cellStyle name="Normal 59" xfId="1641"/>
    <cellStyle name="Normal 6" xfId="1642"/>
    <cellStyle name="Normal 6 10" xfId="1643"/>
    <cellStyle name="Normal 6 11" xfId="1644"/>
    <cellStyle name="Normal 6 12" xfId="1645"/>
    <cellStyle name="Normal 6 13" xfId="1646"/>
    <cellStyle name="Normal 6 14" xfId="1647"/>
    <cellStyle name="Normal 6 15" xfId="1648"/>
    <cellStyle name="Normal 6 16" xfId="1649"/>
    <cellStyle name="Normal 6 17" xfId="1650"/>
    <cellStyle name="Normal 6 18" xfId="1651"/>
    <cellStyle name="Normal 6 19" xfId="1652"/>
    <cellStyle name="Normal 6 2" xfId="1653"/>
    <cellStyle name="Normal 6 2 10" xfId="1654"/>
    <cellStyle name="Normal 6 2 11" xfId="1655"/>
    <cellStyle name="Normal 6 2 12" xfId="1656"/>
    <cellStyle name="Normal 6 2 13" xfId="1657"/>
    <cellStyle name="Normal 6 2 14" xfId="1658"/>
    <cellStyle name="Normal 6 2 15" xfId="1659"/>
    <cellStyle name="Normal 6 2 16" xfId="1660"/>
    <cellStyle name="Normal 6 2 17" xfId="1661"/>
    <cellStyle name="Normal 6 2 18" xfId="1662"/>
    <cellStyle name="Normal 6 2 19" xfId="1663"/>
    <cellStyle name="Normal 6 2 2" xfId="1664"/>
    <cellStyle name="Normal 6 2 20" xfId="1665"/>
    <cellStyle name="Normal 6 2 21" xfId="1666"/>
    <cellStyle name="Normal 6 2 22" xfId="1667"/>
    <cellStyle name="Normal 6 2 23" xfId="1668"/>
    <cellStyle name="Normal 6 2 24" xfId="1669"/>
    <cellStyle name="Normal 6 2 25" xfId="1670"/>
    <cellStyle name="Normal 6 2 26" xfId="1671"/>
    <cellStyle name="Normal 6 2 27" xfId="1672"/>
    <cellStyle name="Normal 6 2 28" xfId="1673"/>
    <cellStyle name="Normal 6 2 29" xfId="1674"/>
    <cellStyle name="Normal 6 2 3" xfId="1675"/>
    <cellStyle name="Normal 6 2 30" xfId="1676"/>
    <cellStyle name="Normal 6 2 31" xfId="1677"/>
    <cellStyle name="Normal 6 2 32" xfId="1678"/>
    <cellStyle name="Normal 6 2 33" xfId="1679"/>
    <cellStyle name="Normal 6 2 34" xfId="1680"/>
    <cellStyle name="Normal 6 2 35" xfId="1681"/>
    <cellStyle name="Normal 6 2 36" xfId="1682"/>
    <cellStyle name="Normal 6 2 37" xfId="1683"/>
    <cellStyle name="Normal 6 2 38" xfId="1684"/>
    <cellStyle name="Normal 6 2 39" xfId="1685"/>
    <cellStyle name="Normal 6 2 4" xfId="1686"/>
    <cellStyle name="Normal 6 2 40" xfId="1687"/>
    <cellStyle name="Normal 6 2 41" xfId="1688"/>
    <cellStyle name="Normal 6 2 42" xfId="1689"/>
    <cellStyle name="Normal 6 2 43" xfId="1690"/>
    <cellStyle name="Normal 6 2 44" xfId="1691"/>
    <cellStyle name="Normal 6 2 45" xfId="1692"/>
    <cellStyle name="Normal 6 2 46" xfId="1693"/>
    <cellStyle name="Normal 6 2 5" xfId="1694"/>
    <cellStyle name="Normal 6 2 6" xfId="1695"/>
    <cellStyle name="Normal 6 2 7" xfId="1696"/>
    <cellStyle name="Normal 6 2 8" xfId="1697"/>
    <cellStyle name="Normal 6 2 9" xfId="1698"/>
    <cellStyle name="Normal 6 20" xfId="1699"/>
    <cellStyle name="Normal 6 21" xfId="1700"/>
    <cellStyle name="Normal 6 22" xfId="1701"/>
    <cellStyle name="Normal 6 23" xfId="1702"/>
    <cellStyle name="Normal 6 24" xfId="1703"/>
    <cellStyle name="Normal 6 25" xfId="1704"/>
    <cellStyle name="Normal 6 26" xfId="1705"/>
    <cellStyle name="Normal 6 27" xfId="1706"/>
    <cellStyle name="Normal 6 28" xfId="1707"/>
    <cellStyle name="Normal 6 29" xfId="1708"/>
    <cellStyle name="Normal 6 3" xfId="1709"/>
    <cellStyle name="Normal 6 30" xfId="1710"/>
    <cellStyle name="Normal 6 31" xfId="1711"/>
    <cellStyle name="Normal 6 32" xfId="1712"/>
    <cellStyle name="Normal 6 33" xfId="1713"/>
    <cellStyle name="Normal 6 34" xfId="1714"/>
    <cellStyle name="Normal 6 35" xfId="1715"/>
    <cellStyle name="Normal 6 36" xfId="1716"/>
    <cellStyle name="Normal 6 37" xfId="1717"/>
    <cellStyle name="Normal 6 38" xfId="1718"/>
    <cellStyle name="Normal 6 39" xfId="1719"/>
    <cellStyle name="Normal 6 4" xfId="1720"/>
    <cellStyle name="Normal 6 4 2" xfId="1721"/>
    <cellStyle name="Normal 6 40" xfId="1722"/>
    <cellStyle name="Normal 6 41" xfId="1723"/>
    <cellStyle name="Normal 6 42" xfId="1724"/>
    <cellStyle name="Normal 6 43" xfId="1725"/>
    <cellStyle name="Normal 6 44" xfId="1726"/>
    <cellStyle name="Normal 6 45" xfId="1727"/>
    <cellStyle name="Normal 6 46" xfId="1728"/>
    <cellStyle name="Normal 6 47" xfId="1729"/>
    <cellStyle name="Normal 6 48" xfId="1730"/>
    <cellStyle name="Normal 6 49" xfId="1731"/>
    <cellStyle name="Normal 6 5" xfId="1732"/>
    <cellStyle name="Normal 6 50" xfId="1733"/>
    <cellStyle name="Normal 6 51" xfId="1734"/>
    <cellStyle name="Normal 6 52" xfId="1735"/>
    <cellStyle name="Normal 6 53" xfId="1736"/>
    <cellStyle name="Normal 6 54" xfId="1737"/>
    <cellStyle name="Normal 6 6" xfId="1738"/>
    <cellStyle name="Normal 6 7" xfId="1739"/>
    <cellStyle name="Normal 6 8" xfId="1740"/>
    <cellStyle name="Normal 6 9" xfId="1741"/>
    <cellStyle name="Normal 6_Dados" xfId="1742"/>
    <cellStyle name="Normal 60" xfId="1743"/>
    <cellStyle name="Normal 61" xfId="1744"/>
    <cellStyle name="Normal 62" xfId="1745"/>
    <cellStyle name="Normal 63" xfId="2183"/>
    <cellStyle name="Normal 64" xfId="1746"/>
    <cellStyle name="Normal 65" xfId="1747"/>
    <cellStyle name="Normal 66" xfId="2198"/>
    <cellStyle name="Normal 67" xfId="2199"/>
    <cellStyle name="Normal 68" xfId="1748"/>
    <cellStyle name="Normal 69" xfId="2200"/>
    <cellStyle name="Normal 7" xfId="1749"/>
    <cellStyle name="Normal 7 2" xfId="1750"/>
    <cellStyle name="Normal 7_Dados" xfId="1751"/>
    <cellStyle name="Normal 76" xfId="1752"/>
    <cellStyle name="Normal 76 2" xfId="1753"/>
    <cellStyle name="Normal 8" xfId="1754"/>
    <cellStyle name="Normal 8 2" xfId="1755"/>
    <cellStyle name="Normal 9" xfId="1756"/>
    <cellStyle name="Normal_Pesquisa no referencial 10 de maio de 2013" xfId="2194"/>
    <cellStyle name="Nota 2" xfId="72"/>
    <cellStyle name="Nota 2 2" xfId="108"/>
    <cellStyle name="Nota 2 2 2" xfId="1758"/>
    <cellStyle name="Nota 2 3" xfId="114"/>
    <cellStyle name="Nota 2 4" xfId="113"/>
    <cellStyle name="Nota 2 5" xfId="136"/>
    <cellStyle name="Nota 2 6" xfId="1757"/>
    <cellStyle name="Nota 3" xfId="71"/>
    <cellStyle name="Nota 3 2" xfId="1760"/>
    <cellStyle name="Nota 3 2 2" xfId="1761"/>
    <cellStyle name="Nota 3 3" xfId="1759"/>
    <cellStyle name="Nota 4" xfId="109"/>
    <cellStyle name="Nota 4 2" xfId="1762"/>
    <cellStyle name="Nota 5" xfId="115"/>
    <cellStyle name="Nota 6" xfId="99"/>
    <cellStyle name="Nota 7" xfId="137"/>
    <cellStyle name="Notas" xfId="1763"/>
    <cellStyle name="Note" xfId="1764"/>
    <cellStyle name="NUMEROS" xfId="1765"/>
    <cellStyle name="Output" xfId="1766"/>
    <cellStyle name="Percent" xfId="1767"/>
    <cellStyle name="Percent [2]" xfId="1768"/>
    <cellStyle name="Percent_GMB_Planilha Geral de Orçamento CUSTO_1" xfId="1769"/>
    <cellStyle name="Percentual" xfId="1770"/>
    <cellStyle name="planilhas" xfId="1771"/>
    <cellStyle name="planilhas 10" xfId="1772"/>
    <cellStyle name="planilhas 11" xfId="1773"/>
    <cellStyle name="planilhas 12" xfId="1774"/>
    <cellStyle name="planilhas 13" xfId="1775"/>
    <cellStyle name="planilhas 14" xfId="1776"/>
    <cellStyle name="planilhas 15" xfId="1777"/>
    <cellStyle name="planilhas 16" xfId="1778"/>
    <cellStyle name="planilhas 17" xfId="1779"/>
    <cellStyle name="planilhas 18" xfId="1780"/>
    <cellStyle name="planilhas 19" xfId="1781"/>
    <cellStyle name="planilhas 2" xfId="1782"/>
    <cellStyle name="planilhas 20" xfId="1783"/>
    <cellStyle name="planilhas 21" xfId="1784"/>
    <cellStyle name="planilhas 22" xfId="1785"/>
    <cellStyle name="planilhas 23" xfId="1786"/>
    <cellStyle name="planilhas 24" xfId="2186"/>
    <cellStyle name="planilhas 3" xfId="1787"/>
    <cellStyle name="planilhas 4" xfId="1788"/>
    <cellStyle name="planilhas 5" xfId="1789"/>
    <cellStyle name="planilhas 6" xfId="1790"/>
    <cellStyle name="planilhas 7" xfId="1791"/>
    <cellStyle name="planilhas 8" xfId="1792"/>
    <cellStyle name="planilhas 9" xfId="1793"/>
    <cellStyle name="Ponto" xfId="1794"/>
    <cellStyle name="Porcentagem" xfId="2" builtinId="5"/>
    <cellStyle name="Porcentagem 10" xfId="1795"/>
    <cellStyle name="Porcentagem 11" xfId="1796"/>
    <cellStyle name="Porcentagem 12" xfId="1797"/>
    <cellStyle name="Porcentagem 13" xfId="1798"/>
    <cellStyle name="Porcentagem 13 2" xfId="1799"/>
    <cellStyle name="Porcentagem 14" xfId="1800"/>
    <cellStyle name="Porcentagem 15" xfId="2193"/>
    <cellStyle name="Porcentagem 2" xfId="74"/>
    <cellStyle name="Porcentagem 2 2" xfId="1802"/>
    <cellStyle name="Porcentagem 2 2 2" xfId="1803"/>
    <cellStyle name="Porcentagem 2 3" xfId="1804"/>
    <cellStyle name="Porcentagem 2 4" xfId="1805"/>
    <cellStyle name="Porcentagem 2 5" xfId="1801"/>
    <cellStyle name="Porcentagem 3" xfId="73"/>
    <cellStyle name="Porcentagem 3 10" xfId="1807"/>
    <cellStyle name="Porcentagem 3 11" xfId="1808"/>
    <cellStyle name="Porcentagem 3 12" xfId="1809"/>
    <cellStyle name="Porcentagem 3 13" xfId="1810"/>
    <cellStyle name="Porcentagem 3 14" xfId="1811"/>
    <cellStyle name="Porcentagem 3 15" xfId="1806"/>
    <cellStyle name="Porcentagem 3 2" xfId="1812"/>
    <cellStyle name="Porcentagem 3 2 2" xfId="1813"/>
    <cellStyle name="Porcentagem 3 3" xfId="1814"/>
    <cellStyle name="Porcentagem 3 4" xfId="1815"/>
    <cellStyle name="Porcentagem 3 5" xfId="1816"/>
    <cellStyle name="Porcentagem 3 6" xfId="1817"/>
    <cellStyle name="Porcentagem 3 7" xfId="1818"/>
    <cellStyle name="Porcentagem 3 8" xfId="1819"/>
    <cellStyle name="Porcentagem 3 9" xfId="1820"/>
    <cellStyle name="Porcentagem 4" xfId="1821"/>
    <cellStyle name="Porcentagem 4 10" xfId="1822"/>
    <cellStyle name="Porcentagem 4 11" xfId="1823"/>
    <cellStyle name="Porcentagem 4 12" xfId="1824"/>
    <cellStyle name="Porcentagem 4 2" xfId="1825"/>
    <cellStyle name="Porcentagem 4 3" xfId="1826"/>
    <cellStyle name="Porcentagem 4 4" xfId="1827"/>
    <cellStyle name="Porcentagem 4 5" xfId="1828"/>
    <cellStyle name="Porcentagem 4 6" xfId="1829"/>
    <cellStyle name="Porcentagem 4 7" xfId="1830"/>
    <cellStyle name="Porcentagem 4 8" xfId="1831"/>
    <cellStyle name="Porcentagem 4 9" xfId="1832"/>
    <cellStyle name="Porcentagem 5" xfId="1833"/>
    <cellStyle name="Porcentagem 5 10" xfId="1834"/>
    <cellStyle name="Porcentagem 5 11" xfId="1835"/>
    <cellStyle name="Porcentagem 5 12" xfId="1836"/>
    <cellStyle name="Porcentagem 5 2" xfId="1837"/>
    <cellStyle name="Porcentagem 5 3" xfId="1838"/>
    <cellStyle name="Porcentagem 5 4" xfId="1839"/>
    <cellStyle name="Porcentagem 5 5" xfId="1840"/>
    <cellStyle name="Porcentagem 5 6" xfId="1841"/>
    <cellStyle name="Porcentagem 5 7" xfId="1842"/>
    <cellStyle name="Porcentagem 5 8" xfId="1843"/>
    <cellStyle name="Porcentagem 5 9" xfId="1844"/>
    <cellStyle name="Porcentagem 6" xfId="1845"/>
    <cellStyle name="Porcentagem 6 2" xfId="1846"/>
    <cellStyle name="Porcentagem 6 2 2" xfId="1847"/>
    <cellStyle name="Porcentagem 6 3" xfId="1848"/>
    <cellStyle name="Porcentagem 7" xfId="1849"/>
    <cellStyle name="Porcentagem 8" xfId="1850"/>
    <cellStyle name="Porcentagem 9" xfId="1851"/>
    <cellStyle name="Saída 2" xfId="76"/>
    <cellStyle name="Saída 2 2" xfId="106"/>
    <cellStyle name="Saída 2 2 2" xfId="1853"/>
    <cellStyle name="Saída 2 3" xfId="111"/>
    <cellStyle name="Saída 2 4" xfId="110"/>
    <cellStyle name="Saída 2 5" xfId="129"/>
    <cellStyle name="Saída 2 6" xfId="1852"/>
    <cellStyle name="Saída 3" xfId="75"/>
    <cellStyle name="Saída 3 2" xfId="1854"/>
    <cellStyle name="Saída 4" xfId="107"/>
    <cellStyle name="Saída 5" xfId="112"/>
    <cellStyle name="Saída 6" xfId="98"/>
    <cellStyle name="Saída 7" xfId="128"/>
    <cellStyle name="Salida" xfId="1855"/>
    <cellStyle name="Separador de m" xfId="1856"/>
    <cellStyle name="Separador de milhares 10" xfId="1857"/>
    <cellStyle name="Separador de milhares 10 2" xfId="1858"/>
    <cellStyle name="Separador de milhares 11" xfId="1859"/>
    <cellStyle name="Separador de milhares 11 2" xfId="1860"/>
    <cellStyle name="Separador de milhares 12" xfId="1861"/>
    <cellStyle name="Separador de milhares 14 2" xfId="1862"/>
    <cellStyle name="Separador de milhares 16" xfId="1863"/>
    <cellStyle name="Separador de milhares 16 2" xfId="1864"/>
    <cellStyle name="Separador de milhares 2" xfId="1865"/>
    <cellStyle name="Separador de milhares 2 10" xfId="1866"/>
    <cellStyle name="Separador de milhares 2 10 2" xfId="1867"/>
    <cellStyle name="Separador de milhares 2 10 2 2" xfId="1868"/>
    <cellStyle name="Separador de milhares 2 11" xfId="1869"/>
    <cellStyle name="Separador de milhares 2 11 2" xfId="1870"/>
    <cellStyle name="Separador de milhares 2 11 2 2" xfId="1871"/>
    <cellStyle name="Separador de milhares 2 12" xfId="1872"/>
    <cellStyle name="Separador de milhares 2 12 2" xfId="1873"/>
    <cellStyle name="Separador de milhares 2 12 2 2" xfId="1874"/>
    <cellStyle name="Separador de milhares 2 13" xfId="1875"/>
    <cellStyle name="Separador de milhares 2 13 2" xfId="1876"/>
    <cellStyle name="Separador de milhares 2 13 2 2" xfId="1877"/>
    <cellStyle name="Separador de milhares 2 14" xfId="1878"/>
    <cellStyle name="Separador de milhares 2 14 2" xfId="1879"/>
    <cellStyle name="Separador de milhares 2 14 2 2" xfId="1880"/>
    <cellStyle name="Separador de milhares 2 15" xfId="1881"/>
    <cellStyle name="Separador de milhares 2 15 2" xfId="1882"/>
    <cellStyle name="Separador de milhares 2 15 2 2" xfId="1883"/>
    <cellStyle name="Separador de milhares 2 16" xfId="1884"/>
    <cellStyle name="Separador de milhares 2 16 2" xfId="1885"/>
    <cellStyle name="Separador de milhares 2 16 2 2" xfId="1886"/>
    <cellStyle name="Separador de milhares 2 17" xfId="1887"/>
    <cellStyle name="Separador de milhares 2 17 2" xfId="1888"/>
    <cellStyle name="Separador de milhares 2 17 2 2" xfId="1889"/>
    <cellStyle name="Separador de milhares 2 18" xfId="1890"/>
    <cellStyle name="Separador de milhares 2 18 2" xfId="1891"/>
    <cellStyle name="Separador de milhares 2 18 2 2" xfId="1892"/>
    <cellStyle name="Separador de milhares 2 19" xfId="1893"/>
    <cellStyle name="Separador de milhares 2 19 2" xfId="1894"/>
    <cellStyle name="Separador de milhares 2 19 2 2" xfId="1895"/>
    <cellStyle name="Separador de milhares 2 2" xfId="1896"/>
    <cellStyle name="Separador de milhares 2 2 10" xfId="1897"/>
    <cellStyle name="Separador de milhares 2 2 10 2" xfId="1898"/>
    <cellStyle name="Separador de milhares 2 2 10 2 2" xfId="1899"/>
    <cellStyle name="Separador de milhares 2 2 11" xfId="1900"/>
    <cellStyle name="Separador de milhares 2 2 11 2" xfId="1901"/>
    <cellStyle name="Separador de milhares 2 2 11 2 2" xfId="1902"/>
    <cellStyle name="Separador de milhares 2 2 12" xfId="1903"/>
    <cellStyle name="Separador de milhares 2 2 13" xfId="1904"/>
    <cellStyle name="Separador de milhares 2 2 13 2" xfId="1905"/>
    <cellStyle name="Separador de milhares 2 2 13 2 2" xfId="1906"/>
    <cellStyle name="Separador de milhares 2 2 13 3" xfId="1907"/>
    <cellStyle name="Separador de milhares 2 2 2" xfId="1908"/>
    <cellStyle name="Separador de milhares 2 2 2 2" xfId="1909"/>
    <cellStyle name="Separador de milhares 2 2 2 2 2" xfId="1910"/>
    <cellStyle name="Separador de milhares 2 2 3" xfId="1911"/>
    <cellStyle name="Separador de milhares 2 2 3 2" xfId="1912"/>
    <cellStyle name="Separador de milhares 2 2 3 2 2" xfId="1913"/>
    <cellStyle name="Separador de milhares 2 2 4" xfId="1914"/>
    <cellStyle name="Separador de milhares 2 2 4 2" xfId="1915"/>
    <cellStyle name="Separador de milhares 2 2 4 2 2" xfId="1916"/>
    <cellStyle name="Separador de milhares 2 2 5" xfId="1917"/>
    <cellStyle name="Separador de milhares 2 2 5 2" xfId="1918"/>
    <cellStyle name="Separador de milhares 2 2 5 2 2" xfId="1919"/>
    <cellStyle name="Separador de milhares 2 2 6" xfId="1920"/>
    <cellStyle name="Separador de milhares 2 2 6 2" xfId="1921"/>
    <cellStyle name="Separador de milhares 2 2 6 2 2" xfId="1922"/>
    <cellStyle name="Separador de milhares 2 2 7" xfId="1923"/>
    <cellStyle name="Separador de milhares 2 2 7 2" xfId="1924"/>
    <cellStyle name="Separador de milhares 2 2 7 2 2" xfId="1925"/>
    <cellStyle name="Separador de milhares 2 2 8" xfId="1926"/>
    <cellStyle name="Separador de milhares 2 2 8 2" xfId="1927"/>
    <cellStyle name="Separador de milhares 2 2 8 2 2" xfId="1928"/>
    <cellStyle name="Separador de milhares 2 2 9" xfId="1929"/>
    <cellStyle name="Separador de milhares 2 2 9 2" xfId="1930"/>
    <cellStyle name="Separador de milhares 2 2 9 2 2" xfId="1931"/>
    <cellStyle name="Separador de milhares 2 20" xfId="1932"/>
    <cellStyle name="Separador de milhares 2 20 2" xfId="1933"/>
    <cellStyle name="Separador de milhares 2 20 2 2" xfId="1934"/>
    <cellStyle name="Separador de milhares 2 21" xfId="1935"/>
    <cellStyle name="Separador de milhares 2 21 2" xfId="1936"/>
    <cellStyle name="Separador de milhares 2 21 2 2" xfId="1937"/>
    <cellStyle name="Separador de milhares 2 22" xfId="1938"/>
    <cellStyle name="Separador de milhares 2 23" xfId="1939"/>
    <cellStyle name="Separador de milhares 2 23 2" xfId="1940"/>
    <cellStyle name="Separador de milhares 2 3" xfId="1941"/>
    <cellStyle name="Separador de milhares 2 3 10" xfId="1942"/>
    <cellStyle name="Separador de milhares 2 3 10 2" xfId="1943"/>
    <cellStyle name="Separador de milhares 2 3 10 2 2" xfId="1944"/>
    <cellStyle name="Separador de milhares 2 3 2" xfId="1945"/>
    <cellStyle name="Separador de milhares 2 3 2 2" xfId="1946"/>
    <cellStyle name="Separador de milhares 2 3 2 2 2" xfId="1947"/>
    <cellStyle name="Separador de milhares 2 3 3" xfId="1948"/>
    <cellStyle name="Separador de milhares 2 3 3 2" xfId="1949"/>
    <cellStyle name="Separador de milhares 2 3 3 2 2" xfId="1950"/>
    <cellStyle name="Separador de milhares 2 3 4" xfId="1951"/>
    <cellStyle name="Separador de milhares 2 3 4 2" xfId="1952"/>
    <cellStyle name="Separador de milhares 2 3 4 2 2" xfId="1953"/>
    <cellStyle name="Separador de milhares 2 3 5" xfId="1954"/>
    <cellStyle name="Separador de milhares 2 3 5 2" xfId="1955"/>
    <cellStyle name="Separador de milhares 2 3 5 2 2" xfId="1956"/>
    <cellStyle name="Separador de milhares 2 3 6" xfId="1957"/>
    <cellStyle name="Separador de milhares 2 3 6 2" xfId="1958"/>
    <cellStyle name="Separador de milhares 2 3 6 2 2" xfId="1959"/>
    <cellStyle name="Separador de milhares 2 3 7" xfId="1960"/>
    <cellStyle name="Separador de milhares 2 3 7 2" xfId="1961"/>
    <cellStyle name="Separador de milhares 2 3 7 2 2" xfId="1962"/>
    <cellStyle name="Separador de milhares 2 3 8" xfId="1963"/>
    <cellStyle name="Separador de milhares 2 3 8 2" xfId="1964"/>
    <cellStyle name="Separador de milhares 2 3 8 2 2" xfId="1965"/>
    <cellStyle name="Separador de milhares 2 3 9" xfId="1966"/>
    <cellStyle name="Separador de milhares 2 3 9 2" xfId="1967"/>
    <cellStyle name="Separador de milhares 2 3 9 2 2" xfId="1968"/>
    <cellStyle name="Separador de milhares 2 4" xfId="1969"/>
    <cellStyle name="Separador de milhares 2 4 2" xfId="1970"/>
    <cellStyle name="Separador de milhares 2 4 2 2" xfId="1971"/>
    <cellStyle name="Separador de milhares 2 4 3" xfId="1972"/>
    <cellStyle name="Separador de milhares 2 5" xfId="1973"/>
    <cellStyle name="Separador de milhares 2 5 2" xfId="1974"/>
    <cellStyle name="Separador de milhares 2 5 2 2" xfId="1975"/>
    <cellStyle name="Separador de milhares 2 6" xfId="1976"/>
    <cellStyle name="Separador de milhares 2 6 2" xfId="1977"/>
    <cellStyle name="Separador de milhares 2 6 2 2" xfId="1978"/>
    <cellStyle name="Separador de milhares 2 7" xfId="1979"/>
    <cellStyle name="Separador de milhares 2 7 2" xfId="1980"/>
    <cellStyle name="Separador de milhares 2 7 2 2" xfId="1981"/>
    <cellStyle name="Separador de milhares 2 8" xfId="1982"/>
    <cellStyle name="Separador de milhares 2 8 2" xfId="1983"/>
    <cellStyle name="Separador de milhares 2 8 2 2" xfId="1984"/>
    <cellStyle name="Separador de milhares 2 9" xfId="1985"/>
    <cellStyle name="Separador de milhares 2 9 2" xfId="1986"/>
    <cellStyle name="Separador de milhares 2 9 2 2" xfId="1987"/>
    <cellStyle name="Separador de milhares 2_1.0-MC-Adm_Obra" xfId="1988"/>
    <cellStyle name="Separador de milhares 21" xfId="1989"/>
    <cellStyle name="Separador de milhares 21 2" xfId="1990"/>
    <cellStyle name="Separador de milhares 26" xfId="1991"/>
    <cellStyle name="Separador de milhares 26 2" xfId="1992"/>
    <cellStyle name="Separador de milhares 3" xfId="1993"/>
    <cellStyle name="Separador de milhares 3 10" xfId="1994"/>
    <cellStyle name="Separador de milhares 3 11" xfId="1995"/>
    <cellStyle name="Separador de milhares 3 12" xfId="1996"/>
    <cellStyle name="Separador de milhares 3 12 2" xfId="1997"/>
    <cellStyle name="Separador de milhares 3 12 2 2" xfId="1998"/>
    <cellStyle name="Separador de milhares 3 13" xfId="1999"/>
    <cellStyle name="Separador de milhares 3 13 2" xfId="2000"/>
    <cellStyle name="Separador de milhares 3 14" xfId="2001"/>
    <cellStyle name="Separador de milhares 3 15" xfId="2002"/>
    <cellStyle name="Separador de milhares 3 2" xfId="2003"/>
    <cellStyle name="Separador de milhares 3 3" xfId="2004"/>
    <cellStyle name="Separador de milhares 3 4" xfId="2005"/>
    <cellStyle name="Separador de milhares 3 5" xfId="2006"/>
    <cellStyle name="Separador de milhares 3 6" xfId="2007"/>
    <cellStyle name="Separador de milhares 3 7" xfId="2008"/>
    <cellStyle name="Separador de milhares 3 8" xfId="2009"/>
    <cellStyle name="Separador de milhares 3 9" xfId="2010"/>
    <cellStyle name="Separador de milhares 3_1.0-MC-Adm_Obra" xfId="2011"/>
    <cellStyle name="Separador de milhares 4" xfId="2012"/>
    <cellStyle name="Separador de milhares 4 2" xfId="2013"/>
    <cellStyle name="Separador de milhares 4 2 2" xfId="2014"/>
    <cellStyle name="Separador de milhares 40" xfId="2015"/>
    <cellStyle name="Separador de milhares 40 2" xfId="2016"/>
    <cellStyle name="Separador de milhares 41" xfId="2017"/>
    <cellStyle name="Separador de milhares 41 2" xfId="2018"/>
    <cellStyle name="Separador de milhares 5" xfId="2019"/>
    <cellStyle name="Separador de milhares 5 2" xfId="2020"/>
    <cellStyle name="Separador de milhares 5 2 2" xfId="2021"/>
    <cellStyle name="Separador de milhares 5 2 2 2" xfId="2022"/>
    <cellStyle name="Separador de milhares 5 2 3" xfId="2023"/>
    <cellStyle name="Separador de milhares 5 3" xfId="2024"/>
    <cellStyle name="Separador de milhares 5 4" xfId="2025"/>
    <cellStyle name="Separador de milhares 5_1.0-MC-Adm_Obra" xfId="2026"/>
    <cellStyle name="Separador de milhares 55" xfId="2027"/>
    <cellStyle name="Separador de milhares 55 2" xfId="2028"/>
    <cellStyle name="Separador de milhares 58" xfId="2029"/>
    <cellStyle name="Separador de milhares 58 2" xfId="2030"/>
    <cellStyle name="Separador de milhares 6" xfId="2031"/>
    <cellStyle name="Separador de milhares 6 2" xfId="2032"/>
    <cellStyle name="Separador de milhares 6 2 2" xfId="2033"/>
    <cellStyle name="Separador de milhares 6 3" xfId="2034"/>
    <cellStyle name="Separador de milhares 7" xfId="2035"/>
    <cellStyle name="Separador de milhares 7 2" xfId="2036"/>
    <cellStyle name="Separador de milhares 8" xfId="2037"/>
    <cellStyle name="Separador de milhares 9" xfId="2038"/>
    <cellStyle name="Separador de milhares 9 2" xfId="2039"/>
    <cellStyle name="subhead" xfId="2040"/>
    <cellStyle name="SUBTOTAIS" xfId="2041"/>
    <cellStyle name="SUMA PARCIAL" xfId="2042"/>
    <cellStyle name="TableStyleLight1" xfId="2043"/>
    <cellStyle name="Texto de advertencia" xfId="2044"/>
    <cellStyle name="Texto de Aviso 2" xfId="78"/>
    <cellStyle name="Texto de Aviso 3" xfId="77"/>
    <cellStyle name="Texto de Aviso 3 2" xfId="2045"/>
    <cellStyle name="Texto Explicativo 2" xfId="80"/>
    <cellStyle name="Texto Explicativo 3" xfId="79"/>
    <cellStyle name="Texto Explicativo 3 2" xfId="2046"/>
    <cellStyle name="Title" xfId="2047"/>
    <cellStyle name="Título 1 1" xfId="82"/>
    <cellStyle name="Título 1 1 1" xfId="2049"/>
    <cellStyle name="Título 1 1 10" xfId="2050"/>
    <cellStyle name="Título 1 1 11" xfId="2051"/>
    <cellStyle name="Título 1 1 12" xfId="2052"/>
    <cellStyle name="Título 1 1 2" xfId="2053"/>
    <cellStyle name="Título 1 1 3" xfId="2054"/>
    <cellStyle name="Título 1 1 4" xfId="2055"/>
    <cellStyle name="Título 1 1 5" xfId="2056"/>
    <cellStyle name="Título 1 1 6" xfId="2057"/>
    <cellStyle name="Título 1 1 7" xfId="2058"/>
    <cellStyle name="Título 1 1 8" xfId="2059"/>
    <cellStyle name="Título 1 1 9" xfId="2060"/>
    <cellStyle name="Título 1 2" xfId="83"/>
    <cellStyle name="Título 1 2 2" xfId="2061"/>
    <cellStyle name="Título 1 3" xfId="81"/>
    <cellStyle name="Título 1 3 2" xfId="2062"/>
    <cellStyle name="Título 2 2" xfId="85"/>
    <cellStyle name="Título 2 2 2" xfId="2063"/>
    <cellStyle name="Título 2 3" xfId="84"/>
    <cellStyle name="Título 2 3 2" xfId="2064"/>
    <cellStyle name="Título 3 2" xfId="87"/>
    <cellStyle name="Título 3 2 2" xfId="2066"/>
    <cellStyle name="Título 3 2 3" xfId="2065"/>
    <cellStyle name="Título 3 3" xfId="86"/>
    <cellStyle name="Título 3 3 2" xfId="2067"/>
    <cellStyle name="Título 4 2" xfId="89"/>
    <cellStyle name="Título 4 2 2" xfId="2068"/>
    <cellStyle name="Título 4 3" xfId="88"/>
    <cellStyle name="Título 4 3 2" xfId="2069"/>
    <cellStyle name="Título 5" xfId="2070"/>
    <cellStyle name="Titulo1" xfId="2071"/>
    <cellStyle name="Titulo2" xfId="2072"/>
    <cellStyle name="TITULOS" xfId="2073"/>
    <cellStyle name="Total 2" xfId="91"/>
    <cellStyle name="Total 2 2" xfId="101"/>
    <cellStyle name="Total 2 2 2" xfId="2075"/>
    <cellStyle name="Total 2 3" xfId="104"/>
    <cellStyle name="Total 2 4" xfId="103"/>
    <cellStyle name="Total 2 5" xfId="134"/>
    <cellStyle name="Total 2 6" xfId="2074"/>
    <cellStyle name="Total 3" xfId="90"/>
    <cellStyle name="Total 3 2" xfId="2076"/>
    <cellStyle name="Total 4" xfId="102"/>
    <cellStyle name="Total 5" xfId="105"/>
    <cellStyle name="Total 6" xfId="100"/>
    <cellStyle name="Total 7" xfId="133"/>
    <cellStyle name="V¡rgula" xfId="2077"/>
    <cellStyle name="V¡rgula0" xfId="2078"/>
    <cellStyle name="Verificar Célula" xfId="2079"/>
    <cellStyle name="Vírgula" xfId="1" builtinId="3"/>
    <cellStyle name="Vírgula 10" xfId="2081"/>
    <cellStyle name="Vírgula 10 2" xfId="2082"/>
    <cellStyle name="Vírgula 10 2 2" xfId="2083"/>
    <cellStyle name="Vírgula 10 3" xfId="2084"/>
    <cellStyle name="Vírgula 11" xfId="2085"/>
    <cellStyle name="Vírgula 11 2" xfId="2086"/>
    <cellStyle name="Vírgula 12" xfId="2087"/>
    <cellStyle name="Vírgula 12 2" xfId="2088"/>
    <cellStyle name="Vírgula 13" xfId="2089"/>
    <cellStyle name="Vírgula 13 2" xfId="2090"/>
    <cellStyle name="Vírgula 14" xfId="2091"/>
    <cellStyle name="Vírgula 14 2" xfId="2092"/>
    <cellStyle name="Vírgula 15" xfId="2093"/>
    <cellStyle name="Vírgula 15 2" xfId="2094"/>
    <cellStyle name="Vírgula 16" xfId="2080"/>
    <cellStyle name="Vírgula 17" xfId="2187"/>
    <cellStyle name="Vírgula 18" xfId="2195"/>
    <cellStyle name="Vírgula 18 2" xfId="2196"/>
    <cellStyle name="Vírgula 2" xfId="93"/>
    <cellStyle name="Vírgula 2 2" xfId="96"/>
    <cellStyle name="Vírgula 2 2 2" xfId="2097"/>
    <cellStyle name="Vírgula 2 2 3" xfId="2096"/>
    <cellStyle name="Vírgula 2 2 7" xfId="2098"/>
    <cellStyle name="Vírgula 2 3" xfId="2099"/>
    <cellStyle name="Vírgula 2 3 2" xfId="2100"/>
    <cellStyle name="Vírgula 2 4" xfId="2101"/>
    <cellStyle name="Vírgula 2 5" xfId="2095"/>
    <cellStyle name="Vírgula 3" xfId="94"/>
    <cellStyle name="Vírgula 3 2" xfId="2103"/>
    <cellStyle name="Vírgula 3 2 2" xfId="2104"/>
    <cellStyle name="Vírgula 3 2 2 2" xfId="2105"/>
    <cellStyle name="Vírgula 3 2 2 2 2" xfId="2106"/>
    <cellStyle name="Vírgula 3 2 2 2 2 2" xfId="2107"/>
    <cellStyle name="Vírgula 3 2 2 2 3" xfId="2108"/>
    <cellStyle name="Vírgula 3 2 2 3" xfId="2109"/>
    <cellStyle name="Vírgula 3 2 2 3 2" xfId="2110"/>
    <cellStyle name="Vírgula 3 2 2 3 2 2" xfId="2111"/>
    <cellStyle name="Vírgula 3 2 2 3 3" xfId="2112"/>
    <cellStyle name="Vírgula 3 2 2 4" xfId="2113"/>
    <cellStyle name="Vírgula 3 2 2 4 2" xfId="2114"/>
    <cellStyle name="Vírgula 3 2 2 5" xfId="2115"/>
    <cellStyle name="Vírgula 3 2 3" xfId="2116"/>
    <cellStyle name="Vírgula 3 2 3 2" xfId="2117"/>
    <cellStyle name="Vírgula 3 2 3 2 2" xfId="2118"/>
    <cellStyle name="Vírgula 3 2 3 3" xfId="2119"/>
    <cellStyle name="Vírgula 3 2 4" xfId="2120"/>
    <cellStyle name="Vírgula 3 2 4 2" xfId="2121"/>
    <cellStyle name="Vírgula 3 2 4 2 2" xfId="2122"/>
    <cellStyle name="Vírgula 3 2 4 3" xfId="2123"/>
    <cellStyle name="Vírgula 3 2 5" xfId="2124"/>
    <cellStyle name="Vírgula 3 2 5 2" xfId="2125"/>
    <cellStyle name="Vírgula 3 2 6" xfId="2126"/>
    <cellStyle name="Vírgula 3 3" xfId="2127"/>
    <cellStyle name="Vírgula 3 3 2" xfId="2128"/>
    <cellStyle name="Vírgula 3 3 2 2" xfId="2129"/>
    <cellStyle name="Vírgula 3 3 2 2 2" xfId="2130"/>
    <cellStyle name="Vírgula 3 3 2 3" xfId="2131"/>
    <cellStyle name="Vírgula 3 3 3" xfId="2132"/>
    <cellStyle name="Vírgula 3 3 3 2" xfId="2133"/>
    <cellStyle name="Vírgula 3 3 3 2 2" xfId="2134"/>
    <cellStyle name="Vírgula 3 3 3 3" xfId="2135"/>
    <cellStyle name="Vírgula 3 3 4" xfId="2136"/>
    <cellStyle name="Vírgula 3 3 4 2" xfId="2137"/>
    <cellStyle name="Vírgula 3 3 5" xfId="2138"/>
    <cellStyle name="Vírgula 3 4" xfId="2139"/>
    <cellStyle name="Vírgula 3 4 2" xfId="2140"/>
    <cellStyle name="Vírgula 3 4 2 2" xfId="2141"/>
    <cellStyle name="Vírgula 3 4 3" xfId="2142"/>
    <cellStyle name="Vírgula 3 5" xfId="2143"/>
    <cellStyle name="Vírgula 3 5 2" xfId="2144"/>
    <cellStyle name="Vírgula 3 5 2 2" xfId="2145"/>
    <cellStyle name="Vírgula 3 5 3" xfId="2146"/>
    <cellStyle name="Vírgula 3 6" xfId="2147"/>
    <cellStyle name="Vírgula 3 6 2" xfId="2148"/>
    <cellStyle name="Vírgula 3 7" xfId="2149"/>
    <cellStyle name="Vírgula 3 8" xfId="2102"/>
    <cellStyle name="Vírgula 3 9" xfId="2191"/>
    <cellStyle name="Vírgula 4" xfId="95"/>
    <cellStyle name="Vírgula 4 2" xfId="2151"/>
    <cellStyle name="Vírgula 4 2 2" xfId="2152"/>
    <cellStyle name="Vírgula 4 3" xfId="2153"/>
    <cellStyle name="Vírgula 4 4" xfId="2154"/>
    <cellStyle name="Vírgula 4 5" xfId="2150"/>
    <cellStyle name="Vírgula 5" xfId="92"/>
    <cellStyle name="Vírgula 5 2" xfId="2156"/>
    <cellStyle name="Vírgula 5 2 2" xfId="2157"/>
    <cellStyle name="Vírgula 5 3" xfId="2158"/>
    <cellStyle name="Vírgula 5 4" xfId="2155"/>
    <cellStyle name="Vírgula 6" xfId="2159"/>
    <cellStyle name="Vírgula 6 2" xfId="2160"/>
    <cellStyle name="Vírgula 7" xfId="2161"/>
    <cellStyle name="Vírgula 7 2" xfId="2162"/>
    <cellStyle name="Vírgula 7 2 2" xfId="2163"/>
    <cellStyle name="Vírgula 7 2 2 2" xfId="2164"/>
    <cellStyle name="Vírgula 7 2 3" xfId="2165"/>
    <cellStyle name="Vírgula 7 3" xfId="2166"/>
    <cellStyle name="Vírgula 7 3 2" xfId="2167"/>
    <cellStyle name="Vírgula 7 3 2 2" xfId="2168"/>
    <cellStyle name="Vírgula 7 3 3" xfId="2169"/>
    <cellStyle name="Vírgula 7 4" xfId="2170"/>
    <cellStyle name="Vírgula 7 4 2" xfId="2171"/>
    <cellStyle name="Vírgula 7 5" xfId="2172"/>
    <cellStyle name="Vírgula 8" xfId="2173"/>
    <cellStyle name="Vírgula 8 2" xfId="2174"/>
    <cellStyle name="Vírgula 8 2 2" xfId="2175"/>
    <cellStyle name="Vírgula 8 3" xfId="2176"/>
    <cellStyle name="Vírgula 9" xfId="2177"/>
    <cellStyle name="Vírgula 9 2" xfId="2178"/>
    <cellStyle name="Vírgula0" xfId="2179"/>
    <cellStyle name="Vírgula0 2" xfId="2180"/>
    <cellStyle name="Vírgula0_Dados" xfId="2181"/>
    <cellStyle name="Warning Text" xfId="2182"/>
  </cellStyles>
  <dxfs count="9">
    <dxf>
      <font>
        <b/>
        <i val="0"/>
        <condense val="0"/>
        <extend val="0"/>
        <color indexed="10"/>
      </font>
    </dxf>
    <dxf>
      <font>
        <b/>
        <i val="0"/>
        <condense val="0"/>
        <extend val="0"/>
        <color indexed="10"/>
      </font>
    </dxf>
    <dxf>
      <font>
        <b/>
        <i val="0"/>
        <condense val="0"/>
        <extend val="0"/>
        <color indexed="18"/>
      </font>
    </dxf>
    <dxf>
      <font>
        <b/>
        <i val="0"/>
        <condense val="0"/>
        <extend val="0"/>
        <color indexed="10"/>
      </font>
    </dxf>
    <dxf>
      <font>
        <b/>
        <i val="0"/>
        <condense val="0"/>
        <extend val="0"/>
        <color indexed="10"/>
      </font>
    </dxf>
    <dxf>
      <font>
        <b/>
        <i val="0"/>
        <condense val="0"/>
        <extend val="0"/>
        <color indexed="18"/>
      </font>
    </dxf>
    <dxf>
      <font>
        <b/>
        <i val="0"/>
        <condense val="0"/>
        <extend val="0"/>
        <color indexed="10"/>
      </font>
    </dxf>
    <dxf>
      <font>
        <b/>
        <i val="0"/>
        <condense val="0"/>
        <extend val="0"/>
        <color indexed="10"/>
      </font>
    </dxf>
    <dxf>
      <font>
        <b/>
        <i val="0"/>
        <condense val="0"/>
        <extend val="0"/>
        <color indexed="18"/>
      </font>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0</xdr:colOff>
      <xdr:row>8</xdr:row>
      <xdr:rowOff>15240</xdr:rowOff>
    </xdr:from>
    <xdr:to>
      <xdr:col>11</xdr:col>
      <xdr:colOff>480060</xdr:colOff>
      <xdr:row>14</xdr:row>
      <xdr:rowOff>0</xdr:rowOff>
    </xdr:to>
    <xdr:sp macro="" textlink="">
      <xdr:nvSpPr>
        <xdr:cNvPr id="8" name="Text Box 2">
          <a:extLst>
            <a:ext uri="{FF2B5EF4-FFF2-40B4-BE49-F238E27FC236}">
              <a16:creationId xmlns:a16="http://schemas.microsoft.com/office/drawing/2014/main" id="{00000000-0008-0000-0400-000008000000}"/>
            </a:ext>
          </a:extLst>
        </xdr:cNvPr>
        <xdr:cNvSpPr txBox="1">
          <a:spLocks noChangeArrowheads="1"/>
        </xdr:cNvSpPr>
      </xdr:nvSpPr>
      <xdr:spPr bwMode="auto">
        <a:xfrm>
          <a:off x="4610100" y="1809750"/>
          <a:ext cx="3638550" cy="1066800"/>
        </a:xfrm>
        <a:prstGeom prst="rect">
          <a:avLst/>
        </a:prstGeom>
        <a:solidFill>
          <a:srgbClr val="FFFFFF"/>
        </a:solidFill>
        <a:ln w="9525">
          <a:solidFill>
            <a:srgbClr val="000000"/>
          </a:solidFill>
          <a:miter lim="800000"/>
          <a:headEnd/>
          <a:tailEnd/>
        </a:ln>
      </xdr:spPr>
    </xdr:sp>
    <xdr:clientData/>
  </xdr:twoCellAnchor>
  <xdr:twoCellAnchor editAs="oneCell">
    <xdr:from>
      <xdr:col>6</xdr:col>
      <xdr:colOff>7620</xdr:colOff>
      <xdr:row>14</xdr:row>
      <xdr:rowOff>30480</xdr:rowOff>
    </xdr:from>
    <xdr:to>
      <xdr:col>6</xdr:col>
      <xdr:colOff>19050</xdr:colOff>
      <xdr:row>20</xdr:row>
      <xdr:rowOff>20955</xdr:rowOff>
    </xdr:to>
    <xdr:pic>
      <xdr:nvPicPr>
        <xdr:cNvPr id="9" name="Picture 4">
          <a:extLst>
            <a:ext uri="{FF2B5EF4-FFF2-40B4-BE49-F238E27FC236}">
              <a16:creationId xmlns:a16="http://schemas.microsoft.com/office/drawing/2014/main" id="{00000000-0008-0000-04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19625" y="2905125"/>
          <a:ext cx="0" cy="1085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22860</xdr:colOff>
      <xdr:row>8</xdr:row>
      <xdr:rowOff>7620</xdr:rowOff>
    </xdr:from>
    <xdr:to>
      <xdr:col>2</xdr:col>
      <xdr:colOff>22860</xdr:colOff>
      <xdr:row>11</xdr:row>
      <xdr:rowOff>76200</xdr:rowOff>
    </xdr:to>
    <xdr:pic>
      <xdr:nvPicPr>
        <xdr:cNvPr id="10" name="Picture 136">
          <a:extLst>
            <a:ext uri="{FF2B5EF4-FFF2-40B4-BE49-F238E27FC236}">
              <a16:creationId xmlns:a16="http://schemas.microsoft.com/office/drawing/2014/main" id="{00000000-0008-0000-0400-00000A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8650" y="1800225"/>
          <a:ext cx="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320452</xdr:colOff>
      <xdr:row>16</xdr:row>
      <xdr:rowOff>125730</xdr:rowOff>
    </xdr:from>
    <xdr:to>
      <xdr:col>11</xdr:col>
      <xdr:colOff>381000</xdr:colOff>
      <xdr:row>22</xdr:row>
      <xdr:rowOff>1905</xdr:rowOff>
    </xdr:to>
    <xdr:pic>
      <xdr:nvPicPr>
        <xdr:cNvPr id="11" name="Picture 4">
          <a:extLst>
            <a:ext uri="{FF2B5EF4-FFF2-40B4-BE49-F238E27FC236}">
              <a16:creationId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68752" y="3469005"/>
          <a:ext cx="3108548" cy="19792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314902</xdr:colOff>
      <xdr:row>9</xdr:row>
      <xdr:rowOff>114300</xdr:rowOff>
    </xdr:from>
    <xdr:to>
      <xdr:col>11</xdr:col>
      <xdr:colOff>228600</xdr:colOff>
      <xdr:row>12</xdr:row>
      <xdr:rowOff>47625</xdr:rowOff>
    </xdr:to>
    <xdr:pic>
      <xdr:nvPicPr>
        <xdr:cNvPr id="12" name="Picture 137">
          <a:extLst>
            <a:ext uri="{FF2B5EF4-FFF2-40B4-BE49-F238E27FC236}">
              <a16:creationId xmlns:a16="http://schemas.microsoft.com/office/drawing/2014/main" id="{00000000-0008-0000-0400-00000C000000}"/>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763202" y="1762125"/>
          <a:ext cx="2961698"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22860</xdr:colOff>
      <xdr:row>8</xdr:row>
      <xdr:rowOff>7620</xdr:rowOff>
    </xdr:from>
    <xdr:to>
      <xdr:col>2</xdr:col>
      <xdr:colOff>22860</xdr:colOff>
      <xdr:row>10</xdr:row>
      <xdr:rowOff>152400</xdr:rowOff>
    </xdr:to>
    <xdr:pic>
      <xdr:nvPicPr>
        <xdr:cNvPr id="13" name="Picture 136">
          <a:extLst>
            <a:ext uri="{FF2B5EF4-FFF2-40B4-BE49-F238E27FC236}">
              <a16:creationId xmlns:a16="http://schemas.microsoft.com/office/drawing/2014/main" id="{00000000-0008-0000-0400-00000D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8650" y="1800225"/>
          <a:ext cx="0"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8</xdr:row>
      <xdr:rowOff>15240</xdr:rowOff>
    </xdr:from>
    <xdr:to>
      <xdr:col>11</xdr:col>
      <xdr:colOff>480060</xdr:colOff>
      <xdr:row>14</xdr:row>
      <xdr:rowOff>0</xdr:rowOff>
    </xdr:to>
    <xdr:sp macro="" textlink="">
      <xdr:nvSpPr>
        <xdr:cNvPr id="2" name="Text Box 2">
          <a:extLst>
            <a:ext uri="{FF2B5EF4-FFF2-40B4-BE49-F238E27FC236}">
              <a16:creationId xmlns:a16="http://schemas.microsoft.com/office/drawing/2014/main" id="{00000000-0008-0000-0500-000002000000}"/>
            </a:ext>
          </a:extLst>
        </xdr:cNvPr>
        <xdr:cNvSpPr txBox="1">
          <a:spLocks noChangeArrowheads="1"/>
        </xdr:cNvSpPr>
      </xdr:nvSpPr>
      <xdr:spPr bwMode="auto">
        <a:xfrm>
          <a:off x="5343525" y="1558290"/>
          <a:ext cx="3528060" cy="1146810"/>
        </a:xfrm>
        <a:prstGeom prst="rect">
          <a:avLst/>
        </a:prstGeom>
        <a:solidFill>
          <a:srgbClr val="FFFFFF"/>
        </a:solidFill>
        <a:ln w="9525">
          <a:solidFill>
            <a:srgbClr val="000000"/>
          </a:solidFill>
          <a:miter lim="800000"/>
          <a:headEnd/>
          <a:tailEnd/>
        </a:ln>
      </xdr:spPr>
    </xdr:sp>
    <xdr:clientData/>
  </xdr:twoCellAnchor>
  <xdr:twoCellAnchor editAs="oneCell">
    <xdr:from>
      <xdr:col>6</xdr:col>
      <xdr:colOff>7620</xdr:colOff>
      <xdr:row>14</xdr:row>
      <xdr:rowOff>30480</xdr:rowOff>
    </xdr:from>
    <xdr:to>
      <xdr:col>6</xdr:col>
      <xdr:colOff>19050</xdr:colOff>
      <xdr:row>20</xdr:row>
      <xdr:rowOff>20955</xdr:rowOff>
    </xdr:to>
    <xdr:pic>
      <xdr:nvPicPr>
        <xdr:cNvPr id="3" name="Picture 4">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51145" y="2735580"/>
          <a:ext cx="11430"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22860</xdr:colOff>
      <xdr:row>8</xdr:row>
      <xdr:rowOff>7620</xdr:rowOff>
    </xdr:from>
    <xdr:to>
      <xdr:col>2</xdr:col>
      <xdr:colOff>22860</xdr:colOff>
      <xdr:row>11</xdr:row>
      <xdr:rowOff>76200</xdr:rowOff>
    </xdr:to>
    <xdr:pic>
      <xdr:nvPicPr>
        <xdr:cNvPr id="4" name="Picture 136">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42060" y="1550670"/>
          <a:ext cx="0" cy="6591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320452</xdr:colOff>
      <xdr:row>16</xdr:row>
      <xdr:rowOff>125730</xdr:rowOff>
    </xdr:from>
    <xdr:to>
      <xdr:col>11</xdr:col>
      <xdr:colOff>381000</xdr:colOff>
      <xdr:row>22</xdr:row>
      <xdr:rowOff>1905</xdr:rowOff>
    </xdr:to>
    <xdr:pic>
      <xdr:nvPicPr>
        <xdr:cNvPr id="5" name="Picture 4">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63977" y="3221355"/>
          <a:ext cx="3108548"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314902</xdr:colOff>
      <xdr:row>9</xdr:row>
      <xdr:rowOff>114300</xdr:rowOff>
    </xdr:from>
    <xdr:to>
      <xdr:col>11</xdr:col>
      <xdr:colOff>228600</xdr:colOff>
      <xdr:row>12</xdr:row>
      <xdr:rowOff>47625</xdr:rowOff>
    </xdr:to>
    <xdr:pic>
      <xdr:nvPicPr>
        <xdr:cNvPr id="6" name="Picture 137">
          <a:extLst>
            <a:ext uri="{FF2B5EF4-FFF2-40B4-BE49-F238E27FC236}">
              <a16:creationId xmlns:a16="http://schemas.microsoft.com/office/drawing/2014/main" id="{00000000-0008-0000-0500-000006000000}"/>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658427" y="1847850"/>
          <a:ext cx="2961698"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22860</xdr:colOff>
      <xdr:row>8</xdr:row>
      <xdr:rowOff>7620</xdr:rowOff>
    </xdr:from>
    <xdr:to>
      <xdr:col>2</xdr:col>
      <xdr:colOff>22860</xdr:colOff>
      <xdr:row>10</xdr:row>
      <xdr:rowOff>152400</xdr:rowOff>
    </xdr:to>
    <xdr:pic>
      <xdr:nvPicPr>
        <xdr:cNvPr id="7" name="Picture 136">
          <a:extLst>
            <a:ext uri="{FF2B5EF4-FFF2-40B4-BE49-F238E27FC236}">
              <a16:creationId xmlns:a16="http://schemas.microsoft.com/office/drawing/2014/main" id="{00000000-0008-0000-05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42060" y="1550670"/>
          <a:ext cx="0" cy="5353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0</xdr:colOff>
      <xdr:row>8</xdr:row>
      <xdr:rowOff>15240</xdr:rowOff>
    </xdr:from>
    <xdr:to>
      <xdr:col>11</xdr:col>
      <xdr:colOff>480060</xdr:colOff>
      <xdr:row>14</xdr:row>
      <xdr:rowOff>0</xdr:rowOff>
    </xdr:to>
    <xdr:sp macro="" textlink="">
      <xdr:nvSpPr>
        <xdr:cNvPr id="9" name="Text Box 2">
          <a:extLst>
            <a:ext uri="{FF2B5EF4-FFF2-40B4-BE49-F238E27FC236}">
              <a16:creationId xmlns:a16="http://schemas.microsoft.com/office/drawing/2014/main" id="{00000000-0008-0000-0500-000009000000}"/>
            </a:ext>
          </a:extLst>
        </xdr:cNvPr>
        <xdr:cNvSpPr txBox="1">
          <a:spLocks noChangeArrowheads="1"/>
        </xdr:cNvSpPr>
      </xdr:nvSpPr>
      <xdr:spPr bwMode="auto">
        <a:xfrm>
          <a:off x="5343525" y="1558290"/>
          <a:ext cx="3528060" cy="1146810"/>
        </a:xfrm>
        <a:prstGeom prst="rect">
          <a:avLst/>
        </a:prstGeom>
        <a:solidFill>
          <a:srgbClr val="FFFFFF"/>
        </a:solidFill>
        <a:ln w="9525">
          <a:solidFill>
            <a:srgbClr val="000000"/>
          </a:solidFill>
          <a:miter lim="800000"/>
          <a:headEnd/>
          <a:tailEnd/>
        </a:ln>
      </xdr:spPr>
    </xdr:sp>
    <xdr:clientData/>
  </xdr:twoCellAnchor>
  <xdr:twoCellAnchor editAs="oneCell">
    <xdr:from>
      <xdr:col>6</xdr:col>
      <xdr:colOff>7620</xdr:colOff>
      <xdr:row>14</xdr:row>
      <xdr:rowOff>30480</xdr:rowOff>
    </xdr:from>
    <xdr:to>
      <xdr:col>6</xdr:col>
      <xdr:colOff>19050</xdr:colOff>
      <xdr:row>20</xdr:row>
      <xdr:rowOff>20955</xdr:rowOff>
    </xdr:to>
    <xdr:pic>
      <xdr:nvPicPr>
        <xdr:cNvPr id="10" name="Picture 4">
          <a:extLst>
            <a:ext uri="{FF2B5EF4-FFF2-40B4-BE49-F238E27FC236}">
              <a16:creationId xmlns:a16="http://schemas.microsoft.com/office/drawing/2014/main" id="{00000000-0008-0000-05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51145" y="2735580"/>
          <a:ext cx="11430"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22860</xdr:colOff>
      <xdr:row>8</xdr:row>
      <xdr:rowOff>7620</xdr:rowOff>
    </xdr:from>
    <xdr:to>
      <xdr:col>2</xdr:col>
      <xdr:colOff>22860</xdr:colOff>
      <xdr:row>11</xdr:row>
      <xdr:rowOff>76200</xdr:rowOff>
    </xdr:to>
    <xdr:pic>
      <xdr:nvPicPr>
        <xdr:cNvPr id="11" name="Picture 136">
          <a:extLst>
            <a:ext uri="{FF2B5EF4-FFF2-40B4-BE49-F238E27FC236}">
              <a16:creationId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42060" y="1550670"/>
          <a:ext cx="0" cy="6591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320452</xdr:colOff>
      <xdr:row>16</xdr:row>
      <xdr:rowOff>125730</xdr:rowOff>
    </xdr:from>
    <xdr:to>
      <xdr:col>11</xdr:col>
      <xdr:colOff>381000</xdr:colOff>
      <xdr:row>22</xdr:row>
      <xdr:rowOff>1905</xdr:rowOff>
    </xdr:to>
    <xdr:pic>
      <xdr:nvPicPr>
        <xdr:cNvPr id="12" name="Picture 4">
          <a:extLst>
            <a:ext uri="{FF2B5EF4-FFF2-40B4-BE49-F238E27FC236}">
              <a16:creationId xmlns:a16="http://schemas.microsoft.com/office/drawing/2014/main" id="{00000000-0008-0000-05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63977" y="3221355"/>
          <a:ext cx="3108548"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314902</xdr:colOff>
      <xdr:row>9</xdr:row>
      <xdr:rowOff>114300</xdr:rowOff>
    </xdr:from>
    <xdr:to>
      <xdr:col>11</xdr:col>
      <xdr:colOff>228600</xdr:colOff>
      <xdr:row>12</xdr:row>
      <xdr:rowOff>47625</xdr:rowOff>
    </xdr:to>
    <xdr:pic>
      <xdr:nvPicPr>
        <xdr:cNvPr id="13" name="Picture 137">
          <a:extLst>
            <a:ext uri="{FF2B5EF4-FFF2-40B4-BE49-F238E27FC236}">
              <a16:creationId xmlns:a16="http://schemas.microsoft.com/office/drawing/2014/main" id="{00000000-0008-0000-0500-00000D000000}"/>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658427" y="1847850"/>
          <a:ext cx="2961698"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22860</xdr:colOff>
      <xdr:row>8</xdr:row>
      <xdr:rowOff>7620</xdr:rowOff>
    </xdr:from>
    <xdr:to>
      <xdr:col>2</xdr:col>
      <xdr:colOff>22860</xdr:colOff>
      <xdr:row>10</xdr:row>
      <xdr:rowOff>152400</xdr:rowOff>
    </xdr:to>
    <xdr:pic>
      <xdr:nvPicPr>
        <xdr:cNvPr id="14" name="Picture 136">
          <a:extLst>
            <a:ext uri="{FF2B5EF4-FFF2-40B4-BE49-F238E27FC236}">
              <a16:creationId xmlns:a16="http://schemas.microsoft.com/office/drawing/2014/main" id="{00000000-0008-0000-05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42060" y="1550670"/>
          <a:ext cx="0" cy="5353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ng_aroldo\Meus%20documentos\GEOSOLO\PAVIMENT_VG\Medi&#231;&#227;o%20n&#186;%20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g_aroldo\Meus%20documentos\GEOSOLO\PAVIMENT_VG\Med_5_marajoar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aysa\c\INTERNET\Eudora\Attach\SBLO_PcP-AmpTPS_fora_CLP.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uiz1\c\EXCEL\CECAV\OR&#199;CILN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latório-5ª med."/>
      <sheetName val="RESUMO-DVOP"/>
      <sheetName val="REAJUSTE "/>
      <sheetName val="Rem. e limpeza "/>
      <sheetName val="Cubação - Teórica"/>
      <sheetName val="DMT - TEORICO "/>
      <sheetName val="Cub.-Med 5"/>
      <sheetName val="DMT-5ª MEDIÇÃO "/>
      <sheetName val="Cronograma Físico-Financeiro"/>
      <sheetName val="Cronograma Semanal"/>
      <sheetName val="Bueiros"/>
      <sheetName val="Regula"/>
      <sheetName val="Sub-base"/>
      <sheetName val="Base"/>
      <sheetName val="Imprimação"/>
      <sheetName val="CBUQ"/>
      <sheetName val="Colchão drenante"/>
      <sheetName val="TSS"/>
      <sheetName val="TSD-FOG"/>
      <sheetName val="AGREGADOS"/>
      <sheetName val="Pintura"/>
      <sheetName val="Grama"/>
      <sheetName val="Transporte de brita"/>
      <sheetName val="DRENO"/>
      <sheetName val="DRENO SALDO"/>
      <sheetName val="AÇO CA-50"/>
      <sheetName val="AÇO CA-50 (2)"/>
      <sheetName val="DMT - TEORICO 2"/>
      <sheetName val="Acumulado"/>
    </sheetNames>
    <sheetDataSet>
      <sheetData sheetId="0"/>
      <sheetData sheetId="1"/>
      <sheetData sheetId="2"/>
      <sheetData sheetId="3"/>
      <sheetData sheetId="4"/>
      <sheetData sheetId="5"/>
      <sheetData sheetId="6"/>
      <sheetData sheetId="7"/>
      <sheetData sheetId="8"/>
      <sheetData sheetId="9"/>
      <sheetData sheetId="10"/>
      <sheetData sheetId="11">
        <row r="36">
          <cell r="J36">
            <v>39224</v>
          </cell>
          <cell r="M36">
            <v>39224</v>
          </cell>
        </row>
      </sheetData>
      <sheetData sheetId="12">
        <row r="36">
          <cell r="U36">
            <v>228419.09999999998</v>
          </cell>
        </row>
      </sheetData>
      <sheetData sheetId="13">
        <row r="39">
          <cell r="U39">
            <v>263049.59999999998</v>
          </cell>
        </row>
        <row r="40">
          <cell r="U40">
            <v>13152.48</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l"/>
      <sheetName val="MED_5"/>
      <sheetName val="REL MED_5"/>
      <sheetName val="Relatório-1ª med."/>
      <sheetName val="DRENA"/>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étrica"/>
      <sheetName val="Orçamento Global"/>
      <sheetName val="Hidrossanitário"/>
    </sheetNames>
    <sheetDataSet>
      <sheetData sheetId="0"/>
      <sheetData sheetId="1" refreshError="1">
        <row r="38">
          <cell r="D38">
            <v>0.2</v>
          </cell>
        </row>
      </sheetData>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1"/>
    </sheetNames>
    <sheetDataSet>
      <sheetData sheetId="0">
        <row r="13">
          <cell r="J13">
            <v>1350.16</v>
          </cell>
        </row>
        <row r="30">
          <cell r="J30">
            <v>1189.9100000000001</v>
          </cell>
        </row>
        <row r="39">
          <cell r="J39">
            <v>11246.3</v>
          </cell>
        </row>
      </sheetData>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6"/>
  <sheetViews>
    <sheetView workbookViewId="0">
      <selection activeCell="G19" sqref="G19:G22"/>
    </sheetView>
  </sheetViews>
  <sheetFormatPr defaultRowHeight="15"/>
  <cols>
    <col min="1" max="1" width="9.140625" style="28" customWidth="1"/>
    <col min="2" max="2" width="69.85546875" customWidth="1"/>
    <col min="3" max="6" width="15.7109375" style="26" customWidth="1"/>
    <col min="7" max="7" width="10.28515625" style="26" customWidth="1"/>
  </cols>
  <sheetData>
    <row r="1" spans="1:7" s="33" customFormat="1">
      <c r="A1" s="69"/>
      <c r="B1" s="70" t="str">
        <f>ORÇAMENTO!A5</f>
        <v>Serviço: MODERNIZAÇÃO DA SUPERINTENDÊNCIA ESTADUAL RIO DE JANEIRO - SERJ/ABIN</v>
      </c>
      <c r="C1" s="71"/>
      <c r="D1" s="71"/>
      <c r="E1" s="72"/>
      <c r="F1" s="73"/>
      <c r="G1" s="71"/>
    </row>
    <row r="2" spans="1:7" s="33" customFormat="1">
      <c r="A2" s="69"/>
      <c r="B2" s="70" t="str">
        <f>ORÇAMENTO!F4</f>
        <v>ENCARGOS SOCIAIS SOBRE PREÇOS DA MÃO-DE-OBRA: 113,60%(HORA)   70,53%(MÊS)</v>
      </c>
      <c r="C2" s="71"/>
      <c r="D2" s="71"/>
      <c r="E2" s="72" t="str">
        <f>ORÇAMENTO!J5</f>
        <v>BDI REDUZIDO</v>
      </c>
      <c r="F2" s="73">
        <f>ORÇAMENTO!K5</f>
        <v>0.1307413840399585</v>
      </c>
      <c r="G2" s="71"/>
    </row>
    <row r="3" spans="1:7" s="33" customFormat="1">
      <c r="A3" s="69"/>
      <c r="B3" s="678" t="s">
        <v>2511</v>
      </c>
      <c r="C3" s="74"/>
      <c r="D3" s="71"/>
      <c r="E3" s="72" t="s">
        <v>1482</v>
      </c>
      <c r="F3" s="73">
        <f>ORÇAMENTO!K7</f>
        <v>0.20012509277971513</v>
      </c>
      <c r="G3" s="71"/>
    </row>
    <row r="4" spans="1:7" s="33" customFormat="1" ht="18.75" customHeight="1" thickBot="1">
      <c r="A4" s="69"/>
      <c r="B4" s="75" t="s">
        <v>2200</v>
      </c>
      <c r="C4" s="71"/>
      <c r="D4" s="71"/>
      <c r="E4" s="71"/>
      <c r="F4" s="71"/>
      <c r="G4" s="71"/>
    </row>
    <row r="5" spans="1:7" s="33" customFormat="1" ht="18.75" customHeight="1">
      <c r="A5" s="35"/>
      <c r="B5" s="919" t="s">
        <v>777</v>
      </c>
      <c r="C5" s="919"/>
      <c r="D5" s="919"/>
      <c r="E5" s="919"/>
      <c r="F5" s="919"/>
      <c r="G5" s="920"/>
    </row>
    <row r="6" spans="1:7" s="34" customFormat="1" ht="60" customHeight="1">
      <c r="A6" s="36" t="str">
        <f>ORÇAMENTO!B9</f>
        <v>Item</v>
      </c>
      <c r="B6" s="679" t="str">
        <f>ORÇAMENTO!C9</f>
        <v>Descrição</v>
      </c>
      <c r="C6" s="680" t="str">
        <f>ORÇAMENTO!H9</f>
        <v>Custo Total Material + Mão de obra - S/BDI -R$</v>
      </c>
      <c r="D6" s="680" t="str">
        <f>ORÇAMENTO!I9</f>
        <v>Preço Total Material - C/ BDI - R$</v>
      </c>
      <c r="E6" s="680" t="str">
        <f>ORÇAMENTO!J9</f>
        <v>Preço Total Mão de obra - C/BDI - R$</v>
      </c>
      <c r="F6" s="680" t="str">
        <f>ORÇAMENTO!K9</f>
        <v>Preço Total - C/BDI - R$</v>
      </c>
      <c r="G6" s="681" t="str">
        <f>ORÇAMENTO!L9</f>
        <v>%</v>
      </c>
    </row>
    <row r="7" spans="1:7" s="33" customFormat="1">
      <c r="A7" s="322">
        <f>ORÇAMENTO!A10</f>
        <v>1</v>
      </c>
      <c r="B7" s="682" t="str">
        <f>ORÇAMENTO!C10</f>
        <v>Serviços iniciais e administração local</v>
      </c>
      <c r="C7" s="325">
        <f>ORÇAMENTO!H10</f>
        <v>152808.99590000004</v>
      </c>
      <c r="D7" s="325">
        <f>ORÇAMENTO!I10</f>
        <v>14758.037276232311</v>
      </c>
      <c r="E7" s="325">
        <f>ORÇAMENTO!J10</f>
        <v>187989.82510658269</v>
      </c>
      <c r="F7" s="325">
        <f>ORÇAMENTO!K10</f>
        <v>202747.86238281502</v>
      </c>
      <c r="G7" s="683">
        <f>ORÇAMENTO!L10</f>
        <v>7.4028389167562908E-2</v>
      </c>
    </row>
    <row r="8" spans="1:7">
      <c r="A8" s="323" t="s">
        <v>22</v>
      </c>
      <c r="B8" s="684" t="s">
        <v>97</v>
      </c>
      <c r="C8" s="685">
        <f>ORÇAMENTO!H21</f>
        <v>73395.085587259993</v>
      </c>
      <c r="D8" s="685">
        <f>ORÇAMENTO!I21</f>
        <v>24847.807225420176</v>
      </c>
      <c r="E8" s="685">
        <f>ORÇAMENTO!J21</f>
        <v>70494.53926851938</v>
      </c>
      <c r="F8" s="686">
        <f>ORÇAMENTO!K21</f>
        <v>95342.346493939549</v>
      </c>
      <c r="G8" s="687">
        <f>ORÇAMENTO!L21</f>
        <v>3.4811909962707582E-2</v>
      </c>
    </row>
    <row r="9" spans="1:7" ht="15" customHeight="1">
      <c r="A9" s="323" t="s">
        <v>27</v>
      </c>
      <c r="B9" s="684" t="s">
        <v>99</v>
      </c>
      <c r="C9" s="325">
        <f>ORÇAMENTO!H44</f>
        <v>11762.859051249998</v>
      </c>
      <c r="D9" s="325">
        <f>ORÇAMENTO!I44</f>
        <v>11943.139349646201</v>
      </c>
      <c r="E9" s="325">
        <f>ORÇAMENTO!J44</f>
        <v>2423.2982250514842</v>
      </c>
      <c r="F9" s="325">
        <f>ORÇAMENTO!K44</f>
        <v>14366.437574697684</v>
      </c>
      <c r="G9" s="683">
        <f>ORÇAMENTO!L44</f>
        <v>5.2455508986977289E-3</v>
      </c>
    </row>
    <row r="10" spans="1:7" s="37" customFormat="1">
      <c r="A10" s="324" t="s">
        <v>28</v>
      </c>
      <c r="B10" s="688" t="s">
        <v>100</v>
      </c>
      <c r="C10" s="325">
        <f>ORÇAMENTO!H46</f>
        <v>4596.3154353999998</v>
      </c>
      <c r="D10" s="325">
        <f>ORÇAMENTO!I46</f>
        <v>3569.5165837612094</v>
      </c>
      <c r="E10" s="325">
        <f>ORÇAMENTO!J46</f>
        <v>2170.0994272346425</v>
      </c>
      <c r="F10" s="325">
        <f>ORÇAMENTO!K46</f>
        <v>5739.616010995851</v>
      </c>
      <c r="G10" s="683">
        <f>ORÇAMENTO!L46</f>
        <v>2.095679445103684E-3</v>
      </c>
    </row>
    <row r="11" spans="1:7" s="33" customFormat="1">
      <c r="A11" s="323" t="s">
        <v>29</v>
      </c>
      <c r="B11" s="689" t="s">
        <v>337</v>
      </c>
      <c r="C11" s="325">
        <f>ORÇAMENTO!H50</f>
        <v>454855.15855999995</v>
      </c>
      <c r="D11" s="325">
        <f>ORÇAMENTO!I50</f>
        <v>513464.48731537868</v>
      </c>
      <c r="E11" s="325">
        <f>ORÇAMENTO!J50</f>
        <v>1016.4441861033442</v>
      </c>
      <c r="F11" s="325">
        <f>ORÇAMENTO!K50</f>
        <v>514480.93150148203</v>
      </c>
      <c r="G11" s="683">
        <f>ORÇAMENTO!L50</f>
        <v>0.18785004275196832</v>
      </c>
    </row>
    <row r="12" spans="1:7" s="33" customFormat="1">
      <c r="A12" s="322" t="str">
        <f>ORÇAMENTO!A60</f>
        <v>2.3</v>
      </c>
      <c r="B12" s="682" t="str">
        <f>ORÇAMENTO!C60</f>
        <v>Forros</v>
      </c>
      <c r="C12" s="325">
        <f>ORÇAMENTO!H60</f>
        <v>101270.9472</v>
      </c>
      <c r="D12" s="325">
        <f>ORÇAMENTO!I60</f>
        <v>114511.25099996556</v>
      </c>
      <c r="E12" s="325">
        <f>ORÇAMENTO!J60</f>
        <v>0</v>
      </c>
      <c r="F12" s="325">
        <f>ORÇAMENTO!K60</f>
        <v>114511.25099996556</v>
      </c>
      <c r="G12" s="683">
        <f>ORÇAMENTO!L60</f>
        <v>4.1810963397897943E-2</v>
      </c>
    </row>
    <row r="13" spans="1:7" s="33" customFormat="1">
      <c r="A13" s="322" t="str">
        <f>ORÇAMENTO!A62</f>
        <v>2.4</v>
      </c>
      <c r="B13" s="682" t="str">
        <f>ORÇAMENTO!C62</f>
        <v>Pisos</v>
      </c>
      <c r="C13" s="325">
        <f>ORÇAMENTO!H62</f>
        <v>207926.66825799999</v>
      </c>
      <c r="D13" s="325">
        <f>ORÇAMENTO!I62</f>
        <v>220629.1216894447</v>
      </c>
      <c r="E13" s="325">
        <f>ORÇAMENTO!J62</f>
        <v>20251.854466737135</v>
      </c>
      <c r="F13" s="325">
        <f>ORÇAMENTO!K62</f>
        <v>240880.97615618183</v>
      </c>
      <c r="G13" s="683">
        <f>ORÇAMENTO!L62</f>
        <v>8.7951756612274501E-2</v>
      </c>
    </row>
    <row r="14" spans="1:7" s="33" customFormat="1">
      <c r="A14" s="322" t="str">
        <f>ORÇAMENTO!A69</f>
        <v>2.5</v>
      </c>
      <c r="B14" s="682" t="str">
        <f>ORÇAMENTO!C69</f>
        <v>Revestimento cerâmico</v>
      </c>
      <c r="C14" s="325">
        <f>ORÇAMENTO!H69</f>
        <v>12766.338847839999</v>
      </c>
      <c r="D14" s="325">
        <f>ORÇAMENTO!I69</f>
        <v>7912.5466173686646</v>
      </c>
      <c r="E14" s="325">
        <f>ORÇAMENTO!J69</f>
        <v>8259.1274336324132</v>
      </c>
      <c r="F14" s="325">
        <f>ORÇAMENTO!K69</f>
        <v>16171.674051001079</v>
      </c>
      <c r="G14" s="683">
        <f>ORÇAMENTO!L69</f>
        <v>5.9046885430440845E-3</v>
      </c>
    </row>
    <row r="15" spans="1:7" s="33" customFormat="1">
      <c r="A15" s="322" t="str">
        <f>ORÇAMENTO!A72</f>
        <v>2.6</v>
      </c>
      <c r="B15" s="682" t="str">
        <f>ORÇAMENTO!C72</f>
        <v>Pinturas</v>
      </c>
      <c r="C15" s="325">
        <f>ORÇAMENTO!H72</f>
        <v>36492.89245549</v>
      </c>
      <c r="D15" s="325">
        <f>ORÇAMENTO!I72</f>
        <v>10061.948310395717</v>
      </c>
      <c r="E15" s="325">
        <f>ORÇAMENTO!J72</f>
        <v>37606.563442375853</v>
      </c>
      <c r="F15" s="325">
        <f>ORÇAMENTO!K72</f>
        <v>47668.511752771563</v>
      </c>
      <c r="G15" s="683">
        <f>ORÇAMENTO!L72</f>
        <v>1.7404983202288123E-2</v>
      </c>
    </row>
    <row r="16" spans="1:7" s="33" customFormat="1">
      <c r="A16" s="322" t="str">
        <f>ORÇAMENTO!A78</f>
        <v>2.7</v>
      </c>
      <c r="B16" s="682" t="str">
        <f>ORÇAMENTO!C78</f>
        <v>Esquadrias</v>
      </c>
      <c r="C16" s="325">
        <f>ORÇAMENTO!H78</f>
        <v>28342.640207065997</v>
      </c>
      <c r="D16" s="325">
        <f>ORÇAMENTO!I78</f>
        <v>27365.142956238189</v>
      </c>
      <c r="E16" s="325">
        <f>ORÇAMENTO!J78</f>
        <v>7412.9025531071857</v>
      </c>
      <c r="F16" s="325">
        <f>ORÇAMENTO!K78</f>
        <v>34778.045509345378</v>
      </c>
      <c r="G16" s="683">
        <f>ORÇAMENTO!L78</f>
        <v>1.2698346888569979E-2</v>
      </c>
    </row>
    <row r="17" spans="1:10" s="33" customFormat="1">
      <c r="A17" s="322" t="str">
        <f>ORÇAMENTO!A85</f>
        <v>2.8</v>
      </c>
      <c r="B17" s="682" t="str">
        <f>ORÇAMENTO!C85</f>
        <v>Louças e metais</v>
      </c>
      <c r="C17" s="325">
        <f>ORÇAMENTO!H85</f>
        <v>28015.389181999995</v>
      </c>
      <c r="D17" s="325">
        <f>ORÇAMENTO!I85</f>
        <v>31282.66995101023</v>
      </c>
      <c r="E17" s="325">
        <f>ORÇAMENTO!J85</f>
        <v>2607.8397205228212</v>
      </c>
      <c r="F17" s="325">
        <f>ORÇAMENTO!K85</f>
        <v>33890.509671533058</v>
      </c>
      <c r="G17" s="683">
        <f>ORÇAMENTO!L85</f>
        <v>1.2374285033468031E-2</v>
      </c>
    </row>
    <row r="18" spans="1:10" s="33" customFormat="1">
      <c r="A18" s="690" t="s">
        <v>1108</v>
      </c>
      <c r="B18" s="689" t="s">
        <v>1109</v>
      </c>
      <c r="C18" s="325">
        <f>ORÇAMENTO!H114</f>
        <v>2033.001827</v>
      </c>
      <c r="D18" s="325">
        <f>ORÇAMENTO!I114</f>
        <v>1246.5857167153854</v>
      </c>
      <c r="E18" s="325">
        <f>ORÇAMENTO!J114</f>
        <v>1330.2512917505801</v>
      </c>
      <c r="F18" s="325">
        <f>ORÇAMENTO!K114</f>
        <v>2576.8370084659655</v>
      </c>
      <c r="G18" s="683">
        <f>ORÇAMENTO!L114</f>
        <v>9.4086857756319267E-4</v>
      </c>
    </row>
    <row r="19" spans="1:10" s="33" customFormat="1">
      <c r="A19" s="322" t="str">
        <f>ORÇAMENTO!A117</f>
        <v>3.1</v>
      </c>
      <c r="B19" s="682" t="str">
        <f>ORÇAMENTO!C117</f>
        <v>SINALIZAÇÃO</v>
      </c>
      <c r="C19" s="325">
        <f>ORÇAMENTO!H117</f>
        <v>5568.9190740000004</v>
      </c>
      <c r="D19" s="325">
        <f>ORÇAMENTO!I117</f>
        <v>5362.0749057832718</v>
      </c>
      <c r="E19" s="325">
        <f>ORÇAMENTO!J117</f>
        <v>1473.0049463942348</v>
      </c>
      <c r="F19" s="325">
        <f>ORÇAMENTO!K117</f>
        <v>6835.0798521775068</v>
      </c>
      <c r="G19" s="683">
        <f>ORÇAMENTO!L117</f>
        <v>2.4956610902905022E-3</v>
      </c>
    </row>
    <row r="20" spans="1:10" s="33" customFormat="1">
      <c r="A20" s="322" t="s">
        <v>21</v>
      </c>
      <c r="B20" s="684" t="s">
        <v>833</v>
      </c>
      <c r="C20" s="691">
        <f>ORÇAMENTO!H121</f>
        <v>7788.4932440000002</v>
      </c>
      <c r="D20" s="685">
        <f>ORÇAMENTO!I121</f>
        <v>7844.0176064082179</v>
      </c>
      <c r="E20" s="685">
        <f>ORÇAMENTO!J121</f>
        <v>1675.7012283823642</v>
      </c>
      <c r="F20" s="685">
        <f>ORÇAMENTO!K121</f>
        <v>9519.7188347905831</v>
      </c>
      <c r="G20" s="683">
        <f>ORÇAMENTO!L121</f>
        <v>3.4758909040285345E-3</v>
      </c>
      <c r="H20" s="108"/>
      <c r="I20" s="108"/>
      <c r="J20" s="108"/>
    </row>
    <row r="21" spans="1:10" s="33" customFormat="1">
      <c r="A21" s="322" t="str">
        <f>ORÇAMENTO!A123</f>
        <v>3.3</v>
      </c>
      <c r="B21" s="682" t="str">
        <f>ORÇAMENTO!C123</f>
        <v>SPRINKLER</v>
      </c>
      <c r="C21" s="325">
        <f>ORÇAMENTO!H123</f>
        <v>93313.044633333324</v>
      </c>
      <c r="D21" s="325">
        <f>ORÇAMENTO!I123</f>
        <v>90995.133978484664</v>
      </c>
      <c r="E21" s="325">
        <f>ORÇAMENTO!J123</f>
        <v>23401.973182721013</v>
      </c>
      <c r="F21" s="325">
        <f>ORÇAMENTO!K123</f>
        <v>114397.10716120567</v>
      </c>
      <c r="G21" s="683">
        <f>ORÇAMENTO!L123</f>
        <v>4.1769286586031774E-2</v>
      </c>
      <c r="H21" s="67"/>
      <c r="I21" s="67"/>
      <c r="J21" s="67"/>
    </row>
    <row r="22" spans="1:10" s="33" customFormat="1">
      <c r="A22" s="322" t="str">
        <f>ORÇAMENTO!A155</f>
        <v>3.4</v>
      </c>
      <c r="B22" s="682" t="str">
        <f>ORÇAMENTO!C155</f>
        <v>SISTEMA DE DETECÇÃO E ALARME DE INCÊNDIO - SDAI</v>
      </c>
      <c r="C22" s="325">
        <f>ORÇAMENTO!H155</f>
        <v>52855.338760000006</v>
      </c>
      <c r="D22" s="325">
        <f>ORÇAMENTO!I155</f>
        <v>47641.805275883453</v>
      </c>
      <c r="E22" s="325">
        <f>ORÇAMENTO!J155</f>
        <v>17603.951887623087</v>
      </c>
      <c r="F22" s="325">
        <f>ORÇAMENTO!K155</f>
        <v>65245.757163506532</v>
      </c>
      <c r="G22" s="683">
        <f>ORÇAMENTO!L155</f>
        <v>2.3822881514344207E-2</v>
      </c>
    </row>
    <row r="23" spans="1:10" s="33" customFormat="1">
      <c r="A23" s="322">
        <f>ORÇAMENTO!A172</f>
        <v>4</v>
      </c>
      <c r="B23" s="682" t="str">
        <f>ORÇAMENTO!C172</f>
        <v>Hidrossanitário</v>
      </c>
      <c r="C23" s="325">
        <f>ORÇAMENTO!H172</f>
        <v>40820.049451000006</v>
      </c>
      <c r="D23" s="325">
        <f>ORÇAMENTO!I172</f>
        <v>33484.632868477027</v>
      </c>
      <c r="E23" s="325">
        <f>ORÇAMENTO!J172</f>
        <v>16545.830663939603</v>
      </c>
      <c r="F23" s="325">
        <f>ORÇAMENTO!K172</f>
        <v>50030.463532416623</v>
      </c>
      <c r="G23" s="683">
        <f>ORÇAMENTO!L172</f>
        <v>1.8267391730218442E-2</v>
      </c>
    </row>
    <row r="24" spans="1:10" s="33" customFormat="1">
      <c r="A24" s="322" t="str">
        <f>ORÇAMENTO!A213</f>
        <v>5.1</v>
      </c>
      <c r="B24" s="682" t="s">
        <v>1468</v>
      </c>
      <c r="C24" s="325">
        <f>ORÇAMENTO!H213</f>
        <v>203401.69999999995</v>
      </c>
      <c r="D24" s="325">
        <f>ORÇAMENTO!I213</f>
        <v>226876.47425931349</v>
      </c>
      <c r="E24" s="325">
        <f>ORÇAMENTO!J213</f>
        <v>3689.5059511475069</v>
      </c>
      <c r="F24" s="325">
        <f>ORÇAMENTO!K213</f>
        <v>230565.98021046093</v>
      </c>
      <c r="G24" s="683">
        <f>ORÇAMENTO!L213</f>
        <v>8.4185489855341314E-2</v>
      </c>
    </row>
    <row r="25" spans="1:10" s="33" customFormat="1">
      <c r="A25" s="322" t="str">
        <f>ORÇAMENTO!A224</f>
        <v>5.2</v>
      </c>
      <c r="B25" s="682" t="str">
        <f>ORÇAMENTO!C224</f>
        <v>Rede de dutos</v>
      </c>
      <c r="C25" s="325">
        <f>ORÇAMENTO!H224</f>
        <v>33737.0622</v>
      </c>
      <c r="D25" s="325">
        <f>ORÇAMENTO!I224</f>
        <v>26407.720559037843</v>
      </c>
      <c r="E25" s="325">
        <f>ORÇAMENTO!J224</f>
        <v>15697.387780124993</v>
      </c>
      <c r="F25" s="325">
        <f>ORÇAMENTO!K224</f>
        <v>42105.108339162834</v>
      </c>
      <c r="G25" s="683">
        <f>ORÇAMENTO!L224</f>
        <v>1.5373643447784831E-2</v>
      </c>
    </row>
    <row r="26" spans="1:10" s="33" customFormat="1">
      <c r="A26" s="322" t="str">
        <f>ORÇAMENTO!A234</f>
        <v>5.3</v>
      </c>
      <c r="B26" s="682" t="str">
        <f>ORÇAMENTO!C234</f>
        <v>Grelhas e difusores de ar</v>
      </c>
      <c r="C26" s="325">
        <f>ORÇAMENTO!H234</f>
        <v>17443.419999999998</v>
      </c>
      <c r="D26" s="325">
        <f>ORÇAMENTO!I234</f>
        <v>20099.695053874668</v>
      </c>
      <c r="E26" s="325">
        <f>ORÇAMENTO!J234</f>
        <v>930.39715289806691</v>
      </c>
      <c r="F26" s="325">
        <f>ORÇAMENTO!K234</f>
        <v>43261.168403291173</v>
      </c>
      <c r="G26" s="683">
        <f>ORÇAMENTO!L234</f>
        <v>1.5795750311564147E-2</v>
      </c>
    </row>
    <row r="27" spans="1:10" s="33" customFormat="1">
      <c r="A27" s="322" t="str">
        <f>ORÇAMENTO!A241</f>
        <v>5.4</v>
      </c>
      <c r="B27" s="682" t="str">
        <f>ORÇAMENTO!C241</f>
        <v>Tubulações de água gelada</v>
      </c>
      <c r="C27" s="325">
        <f>ORÇAMENTO!H241</f>
        <v>67945.494438000009</v>
      </c>
      <c r="D27" s="325">
        <f>ORÇAMENTO!I241</f>
        <v>75647.112934405028</v>
      </c>
      <c r="E27" s="325">
        <f>ORÇAMENTO!J241</f>
        <v>6572.8038622130307</v>
      </c>
      <c r="F27" s="325">
        <f>ORÇAMENTO!K241</f>
        <v>82219.916796618068</v>
      </c>
      <c r="G27" s="683">
        <f>ORÇAMENTO!L241</f>
        <v>3.0020577906031663E-2</v>
      </c>
    </row>
    <row r="28" spans="1:10">
      <c r="A28" s="322" t="str">
        <f>ORÇAMENTO!A297</f>
        <v>5.5</v>
      </c>
      <c r="B28" s="682" t="str">
        <f>ORÇAMENTO!C297</f>
        <v>Tubulações frigorígenas</v>
      </c>
      <c r="C28" s="325">
        <f>ORÇAMENTO!H297</f>
        <v>2072.6579999999999</v>
      </c>
      <c r="D28" s="325">
        <f>ORÇAMENTO!I297</f>
        <v>2109.819913106739</v>
      </c>
      <c r="E28" s="325">
        <f>ORÇAMENTO!J297</f>
        <v>420.97855588939046</v>
      </c>
      <c r="F28" s="325">
        <f>ORÇAMENTO!K297</f>
        <v>2530.7984689961295</v>
      </c>
      <c r="G28" s="683">
        <f>ORÇAMENTO!L297</f>
        <v>9.2405873860102307E-4</v>
      </c>
    </row>
    <row r="29" spans="1:10" s="66" customFormat="1">
      <c r="A29" s="323" t="s">
        <v>194</v>
      </c>
      <c r="B29" s="684" t="s">
        <v>1025</v>
      </c>
      <c r="C29" s="325">
        <f>ORÇAMENTO!H300</f>
        <v>2240.2529999999997</v>
      </c>
      <c r="D29" s="325">
        <f>ORÇAMENTO!I300</f>
        <v>2415.8518117655667</v>
      </c>
      <c r="E29" s="325">
        <f>ORÇAMENTO!J300</f>
        <v>304.04006814233759</v>
      </c>
      <c r="F29" s="325">
        <f>ORÇAMENTO!K300</f>
        <v>2719.8918799079038</v>
      </c>
      <c r="G29" s="683">
        <f>ORÇAMENTO!L300</f>
        <v>9.9310154106257553E-4</v>
      </c>
    </row>
    <row r="30" spans="1:10" s="33" customFormat="1">
      <c r="A30" s="322" t="str">
        <f>ORÇAMENTO!A305</f>
        <v>5.7</v>
      </c>
      <c r="B30" s="682" t="str">
        <f>ORÇAMENTO!C305</f>
        <v>Automação</v>
      </c>
      <c r="C30" s="325">
        <f>ORÇAMENTO!H305</f>
        <v>131401.05627999999</v>
      </c>
      <c r="D30" s="325">
        <f>ORÇAMENTO!I305</f>
        <v>137195.00785936372</v>
      </c>
      <c r="E30" s="325">
        <f>ORÇAMENTO!J305</f>
        <v>22715.10163727418</v>
      </c>
      <c r="F30" s="325">
        <f>ORÇAMENTO!K305</f>
        <v>159910.10949663792</v>
      </c>
      <c r="G30" s="683">
        <f>ORÇAMENTO!L305</f>
        <v>5.8387238605224837E-2</v>
      </c>
    </row>
    <row r="31" spans="1:10" s="33" customFormat="1">
      <c r="A31" s="322">
        <f>ORÇAMENTO!A325</f>
        <v>6</v>
      </c>
      <c r="B31" s="682" t="str">
        <f>ORÇAMENTO!C325</f>
        <v>Sistema de Controle de Acesso - SCA</v>
      </c>
      <c r="C31" s="325">
        <f>ORÇAMENTO!H325</f>
        <v>45779.191085999999</v>
      </c>
      <c r="D31" s="325">
        <f>ORÇAMENTO!I325</f>
        <v>50131.289491784046</v>
      </c>
      <c r="E31" s="325">
        <f>ORÇAMENTO!J325</f>
        <v>5361.5650563769859</v>
      </c>
      <c r="F31" s="325">
        <f>ORÇAMENTO!K325</f>
        <v>55492.854548161034</v>
      </c>
      <c r="G31" s="683">
        <f>ORÇAMENTO!L325</f>
        <v>2.0261849295129378E-2</v>
      </c>
    </row>
    <row r="32" spans="1:10" s="33" customFormat="1">
      <c r="A32" s="322" t="str">
        <f>ORÇAMENTO!A347</f>
        <v>7.1</v>
      </c>
      <c r="B32" s="682" t="str">
        <f>ORÇAMENTO!C347</f>
        <v>Quadros Elétricos</v>
      </c>
      <c r="C32" s="325">
        <f>ORÇAMENTO!H347</f>
        <v>18679.349999999999</v>
      </c>
      <c r="D32" s="325">
        <f>ORÇAMENTO!I347</f>
        <v>21482.239160756901</v>
      </c>
      <c r="E32" s="325">
        <f>ORÇAMENTO!J347</f>
        <v>1042.68646445473</v>
      </c>
      <c r="F32" s="325">
        <f>ORÇAMENTO!K347</f>
        <v>22524.925625211632</v>
      </c>
      <c r="G32" s="683">
        <f>ORÇAMENTO!L347</f>
        <v>8.2244219029305714E-3</v>
      </c>
    </row>
    <row r="33" spans="1:7" s="33" customFormat="1">
      <c r="A33" s="322" t="str">
        <f>ORÇAMENTO!A351</f>
        <v>7.2</v>
      </c>
      <c r="B33" s="682" t="str">
        <f>ORÇAMENTO!C351</f>
        <v>Condutores Elétricos</v>
      </c>
      <c r="C33" s="325">
        <f>ORÇAMENTO!H351</f>
        <v>57232.478300000002</v>
      </c>
      <c r="D33" s="325">
        <f>ORÇAMENTO!I351</f>
        <v>47069.5071614669</v>
      </c>
      <c r="E33" s="325">
        <f>ORÇAMENTO!J351</f>
        <v>24098.088326571047</v>
      </c>
      <c r="F33" s="325">
        <f>ORÇAMENTO!K351</f>
        <v>71167.595488037943</v>
      </c>
      <c r="G33" s="683">
        <f>ORÇAMENTO!L351</f>
        <v>2.5985094949907202E-2</v>
      </c>
    </row>
    <row r="34" spans="1:7" s="33" customFormat="1">
      <c r="A34" s="322" t="str">
        <f>ORÇAMENTO!A357</f>
        <v>7.3</v>
      </c>
      <c r="B34" s="682" t="str">
        <f>ORÇAMENTO!C357</f>
        <v>Luminárias</v>
      </c>
      <c r="C34" s="325">
        <f>ORÇAMENTO!H357</f>
        <v>72992.776320000004</v>
      </c>
      <c r="D34" s="325">
        <f>ORÇAMENTO!I357</f>
        <v>78409.497672469588</v>
      </c>
      <c r="E34" s="325">
        <f>ORÇAMENTO!J357</f>
        <v>6023.4811277490026</v>
      </c>
      <c r="F34" s="325">
        <f>ORÇAMENTO!K357</f>
        <v>84432.978800218581</v>
      </c>
      <c r="G34" s="683">
        <f>ORÇAMENTO!L357</f>
        <v>3.0828622998734803E-2</v>
      </c>
    </row>
    <row r="35" spans="1:7" s="33" customFormat="1">
      <c r="A35" s="322" t="str">
        <f>ORÇAMENTO!A362</f>
        <v>7.4</v>
      </c>
      <c r="B35" s="682" t="str">
        <f>ORÇAMENTO!C362</f>
        <v>Interruptores e Tomadas</v>
      </c>
      <c r="C35" s="325">
        <f>ORÇAMENTO!H362</f>
        <v>17871.621096000003</v>
      </c>
      <c r="D35" s="325">
        <f>ORÇAMENTO!I362</f>
        <v>21388.269365992248</v>
      </c>
      <c r="E35" s="325">
        <f>ORÇAMENTO!J362</f>
        <v>66.789056380246578</v>
      </c>
      <c r="F35" s="325">
        <f>ORÇAMENTO!K362</f>
        <v>21455.058422372495</v>
      </c>
      <c r="G35" s="683">
        <f>ORÇAMENTO!L362</f>
        <v>7.8337862399027337E-3</v>
      </c>
    </row>
    <row r="36" spans="1:7" s="33" customFormat="1">
      <c r="A36" s="322" t="str">
        <f>ORÇAMENTO!A372</f>
        <v>7.5</v>
      </c>
      <c r="B36" s="682" t="str">
        <f>ORÇAMENTO!C372</f>
        <v>Canaleta Aluminio de Sobrepor e Acessórios</v>
      </c>
      <c r="C36" s="325">
        <f>ORÇAMENTO!H372</f>
        <v>21433.100000000002</v>
      </c>
      <c r="D36" s="325">
        <f>ORÇAMENTO!I372</f>
        <v>22700.606154946865</v>
      </c>
      <c r="E36" s="325">
        <f>ORÇAMENTO!J372</f>
        <v>3368.6793466998975</v>
      </c>
      <c r="F36" s="325">
        <f>ORÇAMENTO!K372</f>
        <v>26069.285501646762</v>
      </c>
      <c r="G36" s="683">
        <f>ORÇAMENTO!L372</f>
        <v>9.5185576299313332E-3</v>
      </c>
    </row>
    <row r="37" spans="1:7" s="33" customFormat="1">
      <c r="A37" s="322" t="str">
        <f>ORÇAMENTO!A383</f>
        <v>7.6</v>
      </c>
      <c r="B37" s="682" t="str">
        <f>ORÇAMENTO!C383</f>
        <v>Caixas e Conduletes</v>
      </c>
      <c r="C37" s="325">
        <f>ORÇAMENTO!H383</f>
        <v>17562.966065000001</v>
      </c>
      <c r="D37" s="325">
        <f>ORÇAMENTO!I383</f>
        <v>9946.1327164193099</v>
      </c>
      <c r="E37" s="325">
        <f>ORÇAMENTO!J383</f>
        <v>12409.468791387078</v>
      </c>
      <c r="F37" s="325">
        <f>ORÇAMENTO!K383</f>
        <v>22355.601507806387</v>
      </c>
      <c r="G37" s="683">
        <f>ORÇAMENTO!L383</f>
        <v>8.1625973711628216E-3</v>
      </c>
    </row>
    <row r="38" spans="1:7" s="33" customFormat="1">
      <c r="A38" s="322" t="str">
        <f>ORÇAMENTO!A388</f>
        <v>7.7</v>
      </c>
      <c r="B38" s="682" t="str">
        <f>ORÇAMENTO!C388</f>
        <v>Eletrodutos, Eletrocalhas, Perfilados e Acessórios</v>
      </c>
      <c r="C38" s="325">
        <f>ORÇAMENTO!H388</f>
        <v>65698.957506050006</v>
      </c>
      <c r="D38" s="325">
        <f>ORÇAMENTO!I388</f>
        <v>63988.226075942097</v>
      </c>
      <c r="E38" s="325">
        <f>ORÇAMENTO!J388</f>
        <v>16564.437938051346</v>
      </c>
      <c r="F38" s="325">
        <f>ORÇAMENTO!K388</f>
        <v>80552.664013993461</v>
      </c>
      <c r="G38" s="683">
        <f>ORÇAMENTO!L388</f>
        <v>2.9411821609505118E-2</v>
      </c>
    </row>
    <row r="39" spans="1:7" s="33" customFormat="1">
      <c r="A39" s="322" t="str">
        <f>ORÇAMENTO!A413</f>
        <v>7.8</v>
      </c>
      <c r="B39" s="682" t="str">
        <f>ORÇAMENTO!C413</f>
        <v>Aterramento</v>
      </c>
      <c r="C39" s="325">
        <f>ORÇAMENTO!H413</f>
        <v>916.5813599999999</v>
      </c>
      <c r="D39" s="325">
        <f>ORÇAMENTO!I413</f>
        <v>889.00466372750179</v>
      </c>
      <c r="E39" s="325">
        <f>ORÇAMENTO!J413</f>
        <v>235.23006638098707</v>
      </c>
      <c r="F39" s="325">
        <f>ORÇAMENTO!K413</f>
        <v>1124.2347301084887</v>
      </c>
      <c r="G39" s="683">
        <f>ORÇAMENTO!L413</f>
        <v>4.1048662677893398E-4</v>
      </c>
    </row>
    <row r="40" spans="1:7" s="33" customFormat="1">
      <c r="A40" s="322" t="str">
        <f>ORÇAMENTO!A416</f>
        <v>7.9</v>
      </c>
      <c r="B40" s="682" t="str">
        <f>ORÇAMENTO!C416</f>
        <v>Rede Lógica</v>
      </c>
      <c r="C40" s="325">
        <f>ORÇAMENTO!H416</f>
        <v>151508.95551000003</v>
      </c>
      <c r="D40" s="325">
        <f>ORÇAMENTO!I416</f>
        <v>153128.6369607115</v>
      </c>
      <c r="E40" s="325">
        <f>ORÇAMENTO!J416</f>
        <v>27989.198625421915</v>
      </c>
      <c r="F40" s="325">
        <f>ORÇAMENTO!K416</f>
        <v>181117.83558613344</v>
      </c>
      <c r="G40" s="683">
        <f>ORÇAMENTO!L416</f>
        <v>6.6130717534477038E-2</v>
      </c>
    </row>
    <row r="41" spans="1:7" s="46" customFormat="1">
      <c r="A41" s="322" t="str">
        <f>ORÇAMENTO!A426</f>
        <v>7.10</v>
      </c>
      <c r="B41" s="682" t="str">
        <f>ORÇAMENTO!C426</f>
        <v>Medição de Energia</v>
      </c>
      <c r="C41" s="325">
        <f>ORÇAMENTO!H426</f>
        <v>3823.8040000000001</v>
      </c>
      <c r="D41" s="325">
        <f>ORÇAMENTO!I426</f>
        <v>4288.1669690112003</v>
      </c>
      <c r="E41" s="325">
        <f>ORÇAMENTO!J426</f>
        <v>335.41498349221615</v>
      </c>
      <c r="F41" s="325">
        <f>ORÇAMENTO!K426</f>
        <v>4623.5819525034167</v>
      </c>
      <c r="G41" s="692">
        <f>ORÇAMENTO!L426</f>
        <v>1.6881870916191457E-3</v>
      </c>
    </row>
    <row r="42" spans="1:7" s="46" customFormat="1">
      <c r="A42" s="322" t="str">
        <f>ORÇAMENTO!A428</f>
        <v>7.11</v>
      </c>
      <c r="B42" s="682" t="str">
        <f>ORÇAMENTO!C428</f>
        <v>CFTV</v>
      </c>
      <c r="C42" s="325">
        <f>ORÇAMENTO!H428</f>
        <v>20194.267500000002</v>
      </c>
      <c r="D42" s="325">
        <f>ORÇAMENTO!I428</f>
        <v>22419.032805678889</v>
      </c>
      <c r="E42" s="325">
        <f>ORÇAMENTO!J428</f>
        <v>2025.1510459540887</v>
      </c>
      <c r="F42" s="325">
        <f>ORÇAMENTO!K428</f>
        <v>24444.183851632981</v>
      </c>
      <c r="G42" s="692">
        <f>ORÇAMENTO!L428</f>
        <v>8.9251917814819944E-3</v>
      </c>
    </row>
    <row r="43" spans="1:7" s="33" customFormat="1" ht="15.75" thickBot="1">
      <c r="A43" s="693">
        <f>ORÇAMENTO!A433</f>
        <v>8</v>
      </c>
      <c r="B43" s="694" t="str">
        <f>ORÇAMENTO!C433</f>
        <v>Serviços Finais</v>
      </c>
      <c r="C43" s="695">
        <f>ORÇAMENTO!H433</f>
        <v>8266.6324800000002</v>
      </c>
      <c r="D43" s="695">
        <f>ORÇAMENTO!I433</f>
        <v>1145.4120858724418</v>
      </c>
      <c r="E43" s="695">
        <f>ORÇAMENTO!J433</f>
        <v>9782.9663183671619</v>
      </c>
      <c r="F43" s="695">
        <f>ORÇAMENTO!K433</f>
        <v>10928.378404239602</v>
      </c>
      <c r="G43" s="696">
        <f>ORÇAMENTO!L433</f>
        <v>3.9902282567690905E-3</v>
      </c>
    </row>
    <row r="44" spans="1:7" ht="15.75" thickBot="1">
      <c r="A44" s="30"/>
      <c r="B44" s="31" t="str">
        <f>ORÇAMENTO!C436</f>
        <v>TOTAL DO SERVIÇO - R$</v>
      </c>
      <c r="C44" s="32">
        <f>ORÇAMENTO!H436</f>
        <v>2274814.4628146896</v>
      </c>
      <c r="D44" s="32">
        <f>ORÇAMENTO!I436</f>
        <v>2154657.6223022607</v>
      </c>
      <c r="E44" s="32">
        <f>ORÇAMENTO!J436</f>
        <v>561896.57918565406</v>
      </c>
      <c r="F44" s="32">
        <f>ORÇAMENTO!K436</f>
        <v>2738785.2776844325</v>
      </c>
      <c r="G44" s="39">
        <f>SUM(G7:G43)</f>
        <v>1.0000000000000002</v>
      </c>
    </row>
    <row r="45" spans="1:7" s="1" customFormat="1">
      <c r="A45" s="29"/>
      <c r="C45" s="27"/>
      <c r="D45" s="27"/>
      <c r="E45" s="27"/>
      <c r="F45" s="27"/>
      <c r="G45" s="27"/>
    </row>
    <row r="46" spans="1:7" s="1" customFormat="1">
      <c r="A46" s="29"/>
      <c r="C46" s="27"/>
      <c r="D46" s="27"/>
      <c r="E46" s="27"/>
      <c r="F46" s="27"/>
      <c r="G46" s="27"/>
    </row>
    <row r="47" spans="1:7" s="1" customFormat="1">
      <c r="A47" s="29"/>
      <c r="C47" s="27"/>
      <c r="D47" s="27"/>
      <c r="E47" s="27"/>
      <c r="F47" s="27"/>
      <c r="G47" s="27"/>
    </row>
    <row r="48" spans="1:7" s="1" customFormat="1" ht="15.75" customHeight="1">
      <c r="A48" s="326" t="s">
        <v>2190</v>
      </c>
      <c r="B48" s="918" t="s">
        <v>2191</v>
      </c>
      <c r="C48" s="918"/>
      <c r="D48" s="918"/>
      <c r="E48" s="918"/>
      <c r="F48" s="918"/>
      <c r="G48" s="918"/>
    </row>
    <row r="49" spans="1:7" s="1" customFormat="1" ht="33" customHeight="1">
      <c r="A49" s="326" t="s">
        <v>2192</v>
      </c>
      <c r="B49" s="918" t="s">
        <v>2193</v>
      </c>
      <c r="C49" s="918"/>
      <c r="D49" s="918"/>
      <c r="E49" s="918"/>
      <c r="F49" s="918"/>
      <c r="G49" s="918"/>
    </row>
    <row r="50" spans="1:7" s="1" customFormat="1" ht="30.75" customHeight="1">
      <c r="A50" s="326" t="s">
        <v>2194</v>
      </c>
      <c r="B50" s="918" t="s">
        <v>2490</v>
      </c>
      <c r="C50" s="918"/>
      <c r="D50" s="918"/>
      <c r="E50" s="918"/>
      <c r="F50" s="918"/>
      <c r="G50" s="918"/>
    </row>
    <row r="51" spans="1:7" s="1" customFormat="1" ht="15.75">
      <c r="A51" s="326" t="s">
        <v>2195</v>
      </c>
      <c r="B51" s="921" t="s">
        <v>2491</v>
      </c>
      <c r="C51" s="921"/>
      <c r="D51" s="921"/>
      <c r="E51" s="921"/>
      <c r="F51" s="921"/>
      <c r="G51" s="921"/>
    </row>
    <row r="52" spans="1:7" s="1" customFormat="1" ht="33.75" customHeight="1">
      <c r="A52" s="326" t="s">
        <v>2196</v>
      </c>
      <c r="B52" s="918" t="s">
        <v>2492</v>
      </c>
      <c r="C52" s="918"/>
      <c r="D52" s="918"/>
      <c r="E52" s="918"/>
      <c r="F52" s="918"/>
      <c r="G52" s="918"/>
    </row>
    <row r="53" spans="1:7" s="1" customFormat="1" ht="25.5" customHeight="1">
      <c r="A53" s="326" t="s">
        <v>2197</v>
      </c>
      <c r="B53" s="918" t="s">
        <v>2198</v>
      </c>
      <c r="C53" s="918"/>
      <c r="D53" s="918"/>
      <c r="E53" s="918"/>
      <c r="F53" s="918"/>
      <c r="G53" s="918"/>
    </row>
    <row r="54" spans="1:7" s="1" customFormat="1" ht="22.5" customHeight="1">
      <c r="A54" s="326" t="s">
        <v>2199</v>
      </c>
      <c r="B54" s="918" t="s">
        <v>2493</v>
      </c>
      <c r="C54" s="918"/>
      <c r="D54" s="918"/>
      <c r="E54" s="918"/>
      <c r="F54" s="918"/>
      <c r="G54" s="918"/>
    </row>
    <row r="55" spans="1:7" s="1" customFormat="1">
      <c r="A55" s="29"/>
      <c r="C55" s="27"/>
      <c r="D55" s="27"/>
      <c r="E55" s="27"/>
      <c r="F55" s="27"/>
      <c r="G55" s="27"/>
    </row>
    <row r="56" spans="1:7" s="1" customFormat="1">
      <c r="A56" s="29"/>
      <c r="C56" s="27"/>
      <c r="D56" s="27"/>
      <c r="E56" s="27"/>
      <c r="F56" s="27"/>
      <c r="G56" s="27"/>
    </row>
  </sheetData>
  <mergeCells count="8">
    <mergeCell ref="B53:G53"/>
    <mergeCell ref="B54:G54"/>
    <mergeCell ref="B5:G5"/>
    <mergeCell ref="B48:G48"/>
    <mergeCell ref="B49:G49"/>
    <mergeCell ref="B50:G50"/>
    <mergeCell ref="B51:G51"/>
    <mergeCell ref="B52:G52"/>
  </mergeCells>
  <pageMargins left="0.51181102362204722" right="0.51181102362204722" top="0.78740157480314965" bottom="0.78740157480314965" header="0.31496062992125984" footer="0.31496062992125984"/>
  <pageSetup paperSize="9" scale="90" fitToHeight="0" orientation="landscape"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showGridLines="0" zoomScale="85" zoomScaleNormal="85" zoomScaleSheetLayoutView="115" workbookViewId="0">
      <selection activeCell="M13" sqref="M13"/>
    </sheetView>
  </sheetViews>
  <sheetFormatPr defaultColWidth="9.140625" defaultRowHeight="12.75"/>
  <cols>
    <col min="1" max="1" width="9.140625" style="327"/>
    <col min="2" max="2" width="6.42578125" style="353" bestFit="1" customWidth="1"/>
    <col min="3" max="3" width="49.85546875" style="327" customWidth="1"/>
    <col min="4" max="4" width="13.5703125" style="327" bestFit="1" customWidth="1"/>
    <col min="5" max="5" width="17.28515625" style="327" bestFit="1" customWidth="1"/>
    <col min="6" max="16384" width="9.140625" style="327"/>
  </cols>
  <sheetData>
    <row r="1" spans="1:14" ht="15" customHeight="1">
      <c r="B1" s="1048" t="s">
        <v>2201</v>
      </c>
      <c r="C1" s="1048"/>
      <c r="D1" s="1048"/>
      <c r="E1" s="1048"/>
      <c r="F1" s="328"/>
    </row>
    <row r="2" spans="1:14" ht="15" customHeight="1" thickBot="1">
      <c r="B2" s="1049" t="s">
        <v>2202</v>
      </c>
      <c r="C2" s="1049"/>
      <c r="D2" s="1049"/>
      <c r="E2" s="1049"/>
      <c r="F2" s="328"/>
      <c r="I2" s="329"/>
    </row>
    <row r="3" spans="1:14" ht="24" customHeight="1">
      <c r="A3" s="330"/>
      <c r="B3" s="1050" t="s">
        <v>2203</v>
      </c>
      <c r="C3" s="1052" t="s">
        <v>0</v>
      </c>
      <c r="D3" s="1054" t="s">
        <v>2204</v>
      </c>
      <c r="E3" s="1054"/>
      <c r="F3" s="331"/>
      <c r="G3" s="332"/>
      <c r="H3" s="332"/>
      <c r="I3" s="332"/>
      <c r="J3" s="332"/>
      <c r="K3" s="332"/>
      <c r="L3" s="332"/>
      <c r="M3" s="332"/>
      <c r="N3" s="332"/>
    </row>
    <row r="4" spans="1:14" ht="30" customHeight="1" thickBot="1">
      <c r="A4" s="330"/>
      <c r="B4" s="1051"/>
      <c r="C4" s="1053"/>
      <c r="D4" s="333" t="s">
        <v>2205</v>
      </c>
      <c r="E4" s="333" t="s">
        <v>2206</v>
      </c>
      <c r="F4" s="331"/>
      <c r="G4" s="332"/>
      <c r="H4" s="332"/>
      <c r="I4" s="332"/>
      <c r="J4" s="332"/>
      <c r="K4" s="332"/>
      <c r="L4" s="332"/>
      <c r="M4" s="332"/>
      <c r="N4" s="332"/>
    </row>
    <row r="5" spans="1:14" ht="20.100000000000001" customHeight="1">
      <c r="A5" s="328"/>
      <c r="B5" s="334" t="s">
        <v>2207</v>
      </c>
      <c r="C5" s="335" t="s">
        <v>2208</v>
      </c>
      <c r="D5" s="336">
        <v>20</v>
      </c>
      <c r="E5" s="336">
        <v>20</v>
      </c>
      <c r="F5" s="328"/>
    </row>
    <row r="6" spans="1:14" s="341" customFormat="1" ht="20.100000000000001" customHeight="1">
      <c r="A6" s="337"/>
      <c r="B6" s="338" t="s">
        <v>2209</v>
      </c>
      <c r="C6" s="339" t="s">
        <v>2210</v>
      </c>
      <c r="D6" s="340">
        <v>1.5</v>
      </c>
      <c r="E6" s="340">
        <v>1.5</v>
      </c>
      <c r="F6" s="337"/>
    </row>
    <row r="7" spans="1:14" ht="20.100000000000001" customHeight="1">
      <c r="A7" s="328"/>
      <c r="B7" s="342" t="s">
        <v>2211</v>
      </c>
      <c r="C7" s="339" t="s">
        <v>2212</v>
      </c>
      <c r="D7" s="340">
        <v>1</v>
      </c>
      <c r="E7" s="340">
        <v>1</v>
      </c>
      <c r="F7" s="328"/>
    </row>
    <row r="8" spans="1:14" s="344" customFormat="1" ht="20.100000000000001" customHeight="1">
      <c r="A8" s="343"/>
      <c r="B8" s="342" t="s">
        <v>2213</v>
      </c>
      <c r="C8" s="339" t="s">
        <v>2214</v>
      </c>
      <c r="D8" s="340">
        <v>0.2</v>
      </c>
      <c r="E8" s="340">
        <v>0.2</v>
      </c>
      <c r="F8" s="343"/>
    </row>
    <row r="9" spans="1:14" ht="20.100000000000001" customHeight="1">
      <c r="A9" s="328"/>
      <c r="B9" s="342" t="s">
        <v>2215</v>
      </c>
      <c r="C9" s="339" t="s">
        <v>2216</v>
      </c>
      <c r="D9" s="340">
        <v>0.6</v>
      </c>
      <c r="E9" s="340">
        <v>0.6</v>
      </c>
      <c r="F9" s="328"/>
    </row>
    <row r="10" spans="1:14" ht="20.100000000000001" customHeight="1">
      <c r="A10" s="328"/>
      <c r="B10" s="342" t="s">
        <v>2217</v>
      </c>
      <c r="C10" s="339" t="s">
        <v>2218</v>
      </c>
      <c r="D10" s="340">
        <v>2.5</v>
      </c>
      <c r="E10" s="340">
        <v>2.5</v>
      </c>
      <c r="F10" s="328"/>
    </row>
    <row r="11" spans="1:14" ht="20.100000000000001" customHeight="1">
      <c r="A11" s="328"/>
      <c r="B11" s="342" t="s">
        <v>2219</v>
      </c>
      <c r="C11" s="339" t="s">
        <v>2220</v>
      </c>
      <c r="D11" s="340">
        <v>3</v>
      </c>
      <c r="E11" s="340">
        <v>3</v>
      </c>
      <c r="F11" s="328"/>
    </row>
    <row r="12" spans="1:14" ht="20.100000000000001" customHeight="1">
      <c r="A12" s="328"/>
      <c r="B12" s="342" t="s">
        <v>2221</v>
      </c>
      <c r="C12" s="339" t="s">
        <v>2222</v>
      </c>
      <c r="D12" s="340">
        <v>8</v>
      </c>
      <c r="E12" s="340">
        <v>8</v>
      </c>
      <c r="F12" s="328"/>
    </row>
    <row r="13" spans="1:14" ht="20.100000000000001" customHeight="1" thickBot="1">
      <c r="A13" s="328"/>
      <c r="B13" s="345" t="s">
        <v>2223</v>
      </c>
      <c r="C13" s="346" t="s">
        <v>2224</v>
      </c>
      <c r="D13" s="347">
        <v>1</v>
      </c>
      <c r="E13" s="347">
        <v>1</v>
      </c>
      <c r="F13" s="328"/>
    </row>
    <row r="14" spans="1:14" ht="20.100000000000001" customHeight="1" thickBot="1">
      <c r="A14" s="328"/>
      <c r="B14" s="348" t="s">
        <v>2225</v>
      </c>
      <c r="C14" s="348" t="s">
        <v>2226</v>
      </c>
      <c r="D14" s="349">
        <f>SUM(D5:D13)</f>
        <v>37.799999999999997</v>
      </c>
      <c r="E14" s="349">
        <f>SUM(E5:E13)</f>
        <v>37.799999999999997</v>
      </c>
      <c r="F14" s="328"/>
    </row>
    <row r="15" spans="1:14" ht="15.75">
      <c r="A15" s="328"/>
      <c r="B15" s="334" t="s">
        <v>2227</v>
      </c>
      <c r="C15" s="335" t="s">
        <v>2228</v>
      </c>
      <c r="D15" s="336">
        <v>17.98</v>
      </c>
      <c r="E15" s="336">
        <v>0</v>
      </c>
      <c r="F15" s="328"/>
    </row>
    <row r="16" spans="1:14" ht="15.75">
      <c r="A16" s="328"/>
      <c r="B16" s="338" t="s">
        <v>2229</v>
      </c>
      <c r="C16" s="339" t="s">
        <v>2230</v>
      </c>
      <c r="D16" s="340">
        <v>4.87</v>
      </c>
      <c r="E16" s="340">
        <v>0</v>
      </c>
      <c r="F16" s="328"/>
    </row>
    <row r="17" spans="1:6" ht="15.75">
      <c r="A17" s="328"/>
      <c r="B17" s="342" t="s">
        <v>2231</v>
      </c>
      <c r="C17" s="339" t="s">
        <v>2232</v>
      </c>
      <c r="D17" s="340">
        <v>0.85</v>
      </c>
      <c r="E17" s="340">
        <v>0.66</v>
      </c>
      <c r="F17" s="328"/>
    </row>
    <row r="18" spans="1:6" ht="18">
      <c r="A18" s="328"/>
      <c r="B18" s="342" t="s">
        <v>2233</v>
      </c>
      <c r="C18" s="339" t="s">
        <v>2234</v>
      </c>
      <c r="D18" s="340">
        <v>10.85</v>
      </c>
      <c r="E18" s="340">
        <v>8.33</v>
      </c>
      <c r="F18" s="328"/>
    </row>
    <row r="19" spans="1:6" ht="15.75">
      <c r="A19" s="328"/>
      <c r="B19" s="342" t="s">
        <v>2235</v>
      </c>
      <c r="C19" s="339" t="s">
        <v>2236</v>
      </c>
      <c r="D19" s="340">
        <v>7.0000000000000007E-2</v>
      </c>
      <c r="E19" s="340">
        <v>0.06</v>
      </c>
      <c r="F19" s="328"/>
    </row>
    <row r="20" spans="1:6" ht="15.75">
      <c r="A20" s="328"/>
      <c r="B20" s="342" t="s">
        <v>2237</v>
      </c>
      <c r="C20" s="339" t="s">
        <v>2238</v>
      </c>
      <c r="D20" s="340">
        <v>0.72</v>
      </c>
      <c r="E20" s="340">
        <v>0.56000000000000005</v>
      </c>
      <c r="F20" s="328"/>
    </row>
    <row r="21" spans="1:6" ht="15.75">
      <c r="A21" s="328"/>
      <c r="B21" s="342" t="s">
        <v>2239</v>
      </c>
      <c r="C21" s="339" t="s">
        <v>2240</v>
      </c>
      <c r="D21" s="340">
        <v>1.24</v>
      </c>
      <c r="E21" s="340">
        <v>0</v>
      </c>
      <c r="F21" s="328"/>
    </row>
    <row r="22" spans="1:6" ht="15.75">
      <c r="A22" s="328"/>
      <c r="B22" s="342" t="s">
        <v>2241</v>
      </c>
      <c r="C22" s="339" t="s">
        <v>2242</v>
      </c>
      <c r="D22" s="340">
        <v>0.1</v>
      </c>
      <c r="E22" s="340">
        <v>0.08</v>
      </c>
      <c r="F22" s="328"/>
    </row>
    <row r="23" spans="1:6" ht="15.75">
      <c r="A23" s="328"/>
      <c r="B23" s="342" t="s">
        <v>2243</v>
      </c>
      <c r="C23" s="339" t="s">
        <v>2244</v>
      </c>
      <c r="D23" s="340">
        <v>8.3699999999999992</v>
      </c>
      <c r="E23" s="340">
        <v>6.42</v>
      </c>
      <c r="F23" s="328"/>
    </row>
    <row r="24" spans="1:6" ht="16.5" thickBot="1">
      <c r="A24" s="328"/>
      <c r="B24" s="342" t="s">
        <v>2245</v>
      </c>
      <c r="C24" s="339" t="s">
        <v>2246</v>
      </c>
      <c r="D24" s="340">
        <v>0.03</v>
      </c>
      <c r="E24" s="340">
        <v>0.02</v>
      </c>
      <c r="F24" s="328"/>
    </row>
    <row r="25" spans="1:6" ht="16.5" thickBot="1">
      <c r="A25" s="328"/>
      <c r="B25" s="348" t="s">
        <v>2247</v>
      </c>
      <c r="C25" s="348" t="s">
        <v>2226</v>
      </c>
      <c r="D25" s="349">
        <f>SUM(D15:D24)</f>
        <v>45.080000000000005</v>
      </c>
      <c r="E25" s="349">
        <f>SUM(E15:E24)</f>
        <v>16.13</v>
      </c>
      <c r="F25" s="328"/>
    </row>
    <row r="26" spans="1:6" ht="15.75">
      <c r="A26" s="328"/>
      <c r="B26" s="334" t="s">
        <v>2248</v>
      </c>
      <c r="C26" s="335" t="s">
        <v>2249</v>
      </c>
      <c r="D26" s="336">
        <v>4.3499999999999996</v>
      </c>
      <c r="E26" s="336">
        <v>3.34</v>
      </c>
      <c r="F26" s="328"/>
    </row>
    <row r="27" spans="1:6" ht="15.75">
      <c r="A27" s="328"/>
      <c r="B27" s="338" t="s">
        <v>2250</v>
      </c>
      <c r="C27" s="339" t="s">
        <v>2251</v>
      </c>
      <c r="D27" s="340">
        <v>0.1</v>
      </c>
      <c r="E27" s="340">
        <v>0.08</v>
      </c>
      <c r="F27" s="328"/>
    </row>
    <row r="28" spans="1:6" ht="15.75">
      <c r="A28" s="328"/>
      <c r="B28" s="342" t="s">
        <v>2252</v>
      </c>
      <c r="C28" s="339" t="s">
        <v>2253</v>
      </c>
      <c r="D28" s="340">
        <v>5.19</v>
      </c>
      <c r="E28" s="340">
        <v>3.98</v>
      </c>
      <c r="F28" s="328"/>
    </row>
    <row r="29" spans="1:6" ht="15.75">
      <c r="A29" s="328"/>
      <c r="B29" s="342" t="s">
        <v>2254</v>
      </c>
      <c r="C29" s="339" t="s">
        <v>2255</v>
      </c>
      <c r="D29" s="340">
        <v>3.28</v>
      </c>
      <c r="E29" s="340">
        <v>2.52</v>
      </c>
      <c r="F29" s="328"/>
    </row>
    <row r="30" spans="1:6" ht="16.5" thickBot="1">
      <c r="A30" s="328"/>
      <c r="B30" s="342" t="s">
        <v>2254</v>
      </c>
      <c r="C30" s="339" t="s">
        <v>2256</v>
      </c>
      <c r="D30" s="340">
        <v>0.37</v>
      </c>
      <c r="E30" s="340">
        <v>0.28000000000000003</v>
      </c>
      <c r="F30" s="328"/>
    </row>
    <row r="31" spans="1:6" ht="16.5" thickBot="1">
      <c r="A31" s="328"/>
      <c r="B31" s="348" t="s">
        <v>2257</v>
      </c>
      <c r="C31" s="348" t="s">
        <v>2226</v>
      </c>
      <c r="D31" s="349">
        <f>SUM(D26:D30)</f>
        <v>13.29</v>
      </c>
      <c r="E31" s="349">
        <f>SUM(E26:E30)</f>
        <v>10.199999999999999</v>
      </c>
      <c r="F31" s="328"/>
    </row>
    <row r="32" spans="1:6" ht="15.75">
      <c r="A32" s="328"/>
      <c r="B32" s="334" t="s">
        <v>2258</v>
      </c>
      <c r="C32" s="335" t="s">
        <v>2259</v>
      </c>
      <c r="D32" s="336">
        <v>17.04</v>
      </c>
      <c r="E32" s="336">
        <v>6.1</v>
      </c>
      <c r="F32" s="328"/>
    </row>
    <row r="33" spans="1:6" ht="45.75" thickBot="1">
      <c r="A33" s="328"/>
      <c r="B33" s="338" t="s">
        <v>2260</v>
      </c>
      <c r="C33" s="350" t="s">
        <v>2261</v>
      </c>
      <c r="D33" s="340">
        <v>0.39</v>
      </c>
      <c r="E33" s="340">
        <v>0.3</v>
      </c>
      <c r="F33" s="328"/>
    </row>
    <row r="34" spans="1:6" ht="16.5" thickBot="1">
      <c r="A34" s="328"/>
      <c r="B34" s="348" t="s">
        <v>2262</v>
      </c>
      <c r="C34" s="348" t="s">
        <v>2226</v>
      </c>
      <c r="D34" s="349">
        <f>SUM(D32:D33)</f>
        <v>17.43</v>
      </c>
      <c r="E34" s="349">
        <f>SUM(E32:E33)</f>
        <v>6.3999999999999995</v>
      </c>
      <c r="F34" s="328"/>
    </row>
    <row r="35" spans="1:6" ht="16.5" thickBot="1">
      <c r="A35" s="328"/>
      <c r="B35" s="351"/>
      <c r="C35" s="351" t="s">
        <v>2263</v>
      </c>
      <c r="D35" s="352">
        <f>D34+D31+D25+D14</f>
        <v>113.60000000000001</v>
      </c>
      <c r="E35" s="352">
        <f>E34+E31+E25+E14</f>
        <v>70.53</v>
      </c>
      <c r="F35" s="328"/>
    </row>
    <row r="36" spans="1:6">
      <c r="A36" s="328"/>
      <c r="F36" s="328"/>
    </row>
    <row r="37" spans="1:6">
      <c r="A37" s="328"/>
    </row>
  </sheetData>
  <mergeCells count="5">
    <mergeCell ref="B1:E1"/>
    <mergeCell ref="B2:E2"/>
    <mergeCell ref="B3:B4"/>
    <mergeCell ref="C3:C4"/>
    <mergeCell ref="D3:E3"/>
  </mergeCells>
  <printOptions horizontalCentered="1" verticalCentered="1"/>
  <pageMargins left="0.23622047244094488" right="0.23622047244094488" top="0.15748031496062992" bottom="0.19685039370078741" header="0.31496062992125984" footer="0.31496062992125984"/>
  <pageSetup paperSize="9" scale="83"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47"/>
  <sheetViews>
    <sheetView topLeftCell="A4" zoomScale="66" zoomScaleNormal="66" workbookViewId="0">
      <pane ySplit="6" topLeftCell="A10" activePane="bottomLeft" state="frozen"/>
      <selection activeCell="A4" sqref="A4"/>
      <selection pane="bottomLeft" activeCell="A10" sqref="A10:K435"/>
    </sheetView>
  </sheetViews>
  <sheetFormatPr defaultColWidth="9.140625" defaultRowHeight="21"/>
  <cols>
    <col min="1" max="1" width="20.7109375" style="157" customWidth="1"/>
    <col min="2" max="2" width="10.85546875" style="232" customWidth="1"/>
    <col min="3" max="3" width="92.7109375" style="232" customWidth="1"/>
    <col min="4" max="4" width="9" style="233" customWidth="1"/>
    <col min="5" max="5" width="15.7109375" style="234" customWidth="1"/>
    <col min="6" max="7" width="20.7109375" style="235" customWidth="1"/>
    <col min="8" max="8" width="26.140625" style="235" customWidth="1"/>
    <col min="9" max="9" width="20.7109375" style="235" customWidth="1"/>
    <col min="10" max="10" width="20.5703125" style="235" customWidth="1"/>
    <col min="11" max="11" width="20.28515625" style="235" customWidth="1"/>
    <col min="12" max="12" width="12.42578125" style="235" customWidth="1"/>
    <col min="13" max="13" width="19.140625" style="157" customWidth="1"/>
    <col min="14" max="15" width="20.85546875" style="157" customWidth="1"/>
    <col min="16" max="16" width="99" style="157" customWidth="1"/>
    <col min="17" max="16384" width="9.140625" style="157"/>
  </cols>
  <sheetData>
    <row r="1" spans="1:15">
      <c r="A1" s="151"/>
      <c r="B1" s="152"/>
      <c r="C1" s="152"/>
      <c r="D1" s="153"/>
      <c r="E1" s="154"/>
      <c r="F1" s="155"/>
      <c r="G1" s="155"/>
      <c r="H1" s="155"/>
      <c r="I1" s="155"/>
      <c r="J1" s="155"/>
      <c r="K1" s="155"/>
      <c r="L1" s="156"/>
    </row>
    <row r="2" spans="1:15">
      <c r="A2" s="158"/>
      <c r="B2" s="159"/>
      <c r="C2" s="159"/>
      <c r="D2" s="160"/>
      <c r="E2" s="161"/>
      <c r="F2" s="162"/>
      <c r="G2" s="162"/>
      <c r="H2" s="162"/>
      <c r="I2" s="162"/>
      <c r="J2" s="162"/>
      <c r="K2" s="162"/>
      <c r="L2" s="163"/>
    </row>
    <row r="3" spans="1:15">
      <c r="A3" s="158"/>
      <c r="B3" s="159"/>
      <c r="C3" s="159"/>
      <c r="D3" s="160"/>
      <c r="E3" s="161"/>
      <c r="F3" s="162"/>
      <c r="G3" s="162"/>
      <c r="H3" s="162"/>
      <c r="I3" s="162"/>
      <c r="J3" s="162"/>
      <c r="K3" s="162"/>
      <c r="L3" s="163"/>
    </row>
    <row r="4" spans="1:15">
      <c r="A4" s="158"/>
      <c r="B4" s="164"/>
      <c r="C4" s="164"/>
      <c r="D4" s="160"/>
      <c r="E4" s="161"/>
      <c r="F4" s="361" t="s">
        <v>2121</v>
      </c>
      <c r="G4" s="167"/>
      <c r="H4" s="162"/>
      <c r="I4" s="162"/>
      <c r="J4" s="162"/>
      <c r="K4" s="165"/>
      <c r="L4" s="166"/>
    </row>
    <row r="5" spans="1:15" ht="28.5" customHeight="1">
      <c r="A5" s="168" t="s">
        <v>2530</v>
      </c>
      <c r="B5" s="164"/>
      <c r="C5" s="164"/>
      <c r="D5" s="160"/>
      <c r="E5" s="161"/>
      <c r="F5" s="169"/>
      <c r="G5" s="271" t="s">
        <v>773</v>
      </c>
      <c r="H5" s="677" t="s">
        <v>2512</v>
      </c>
      <c r="I5" s="162"/>
      <c r="J5" s="272" t="s">
        <v>2128</v>
      </c>
      <c r="K5" s="273">
        <f>BDIEQUIP.!F25</f>
        <v>0.1307413840399585</v>
      </c>
      <c r="L5" s="166"/>
    </row>
    <row r="6" spans="1:15" ht="28.5" customHeight="1">
      <c r="A6" s="168"/>
      <c r="B6" s="164"/>
      <c r="C6" s="164"/>
      <c r="D6" s="160"/>
      <c r="E6" s="161"/>
      <c r="F6" s="169"/>
      <c r="G6" s="271" t="s">
        <v>819</v>
      </c>
      <c r="H6" s="677" t="s">
        <v>2513</v>
      </c>
      <c r="I6" s="162"/>
      <c r="J6" s="162"/>
      <c r="K6" s="170"/>
      <c r="L6" s="166"/>
    </row>
    <row r="7" spans="1:15" ht="18.75" customHeight="1" thickBot="1">
      <c r="A7" s="171"/>
      <c r="B7" s="172"/>
      <c r="C7" s="172"/>
      <c r="D7" s="173"/>
      <c r="E7" s="174"/>
      <c r="F7" s="175"/>
      <c r="G7" s="274" t="s">
        <v>2127</v>
      </c>
      <c r="H7" s="276">
        <f>'ADICIONAL NOTURNO'!Q6</f>
        <v>0.11479414682539679</v>
      </c>
      <c r="I7" s="175"/>
      <c r="J7" s="274" t="s">
        <v>772</v>
      </c>
      <c r="K7" s="275">
        <f>'BDI '!F25</f>
        <v>0.20012509277971513</v>
      </c>
      <c r="L7" s="176"/>
    </row>
    <row r="8" spans="1:15" ht="30.75" customHeight="1" thickBot="1">
      <c r="A8" s="930" t="s">
        <v>1483</v>
      </c>
      <c r="B8" s="931"/>
      <c r="C8" s="931"/>
      <c r="D8" s="931"/>
      <c r="E8" s="931"/>
      <c r="F8" s="931"/>
      <c r="G8" s="931"/>
      <c r="H8" s="931"/>
      <c r="I8" s="931"/>
      <c r="J8" s="931"/>
      <c r="K8" s="932"/>
      <c r="L8" s="177"/>
    </row>
    <row r="9" spans="1:15" ht="62.45" customHeight="1" thickBot="1">
      <c r="A9" s="178" t="s">
        <v>404</v>
      </c>
      <c r="B9" s="179" t="s">
        <v>1</v>
      </c>
      <c r="C9" s="180" t="s">
        <v>0</v>
      </c>
      <c r="D9" s="181" t="s">
        <v>2</v>
      </c>
      <c r="E9" s="182" t="s">
        <v>3</v>
      </c>
      <c r="F9" s="183" t="s">
        <v>81</v>
      </c>
      <c r="G9" s="183" t="s">
        <v>82</v>
      </c>
      <c r="H9" s="183" t="s">
        <v>83</v>
      </c>
      <c r="I9" s="183" t="s">
        <v>84</v>
      </c>
      <c r="J9" s="184" t="s">
        <v>85</v>
      </c>
      <c r="K9" s="185" t="s">
        <v>86</v>
      </c>
      <c r="L9" s="186" t="s">
        <v>47</v>
      </c>
    </row>
    <row r="10" spans="1:15" ht="21.75" thickBot="1">
      <c r="A10" s="933">
        <v>1</v>
      </c>
      <c r="B10" s="934"/>
      <c r="C10" s="939" t="s">
        <v>2265</v>
      </c>
      <c r="D10" s="940"/>
      <c r="E10" s="940"/>
      <c r="F10" s="940"/>
      <c r="G10" s="934"/>
      <c r="H10" s="886">
        <f>SUM(H11:H19)</f>
        <v>152808.99590000004</v>
      </c>
      <c r="I10" s="886">
        <f>SUM(I11:I19)</f>
        <v>14758.037276232311</v>
      </c>
      <c r="J10" s="887">
        <f>SUM(J11:J19)</f>
        <v>187989.82510658269</v>
      </c>
      <c r="K10" s="886">
        <f>SUM(K11:K19)</f>
        <v>202747.86238281502</v>
      </c>
      <c r="L10" s="888">
        <f t="shared" ref="L10:L41" si="0">K10/$K$436</f>
        <v>7.4028389167562908E-2</v>
      </c>
    </row>
    <row r="11" spans="1:15" s="191" customFormat="1" ht="42">
      <c r="A11" s="717" t="s">
        <v>1301</v>
      </c>
      <c r="B11" s="718" t="s">
        <v>32</v>
      </c>
      <c r="C11" s="718" t="s">
        <v>8</v>
      </c>
      <c r="D11" s="719" t="s">
        <v>737</v>
      </c>
      <c r="E11" s="827">
        <v>1</v>
      </c>
      <c r="F11" s="721">
        <f>CPUE!H8</f>
        <v>2000</v>
      </c>
      <c r="G11" s="721">
        <f>CPUE!I7</f>
        <v>0</v>
      </c>
      <c r="H11" s="721">
        <f t="shared" ref="H11:H19" si="1">E11*(F11+G11)</f>
        <v>2000</v>
      </c>
      <c r="I11" s="721">
        <f t="shared" ref="I11:I19" si="2">E11*F11*(1+$G$436)</f>
        <v>2400.2501855594301</v>
      </c>
      <c r="J11" s="721">
        <f t="shared" ref="J11:J19" si="3">E11*G11*(1+$G$436)*(1+$H$7)</f>
        <v>0</v>
      </c>
      <c r="K11" s="721">
        <f t="shared" ref="K11:K19" si="4">I11+J11</f>
        <v>2400.2501855594301</v>
      </c>
      <c r="L11" s="723">
        <f t="shared" si="0"/>
        <v>8.7639224772990433E-4</v>
      </c>
      <c r="M11" s="190"/>
      <c r="N11" s="190"/>
      <c r="O11" s="190"/>
    </row>
    <row r="12" spans="1:15" s="191" customFormat="1">
      <c r="A12" s="876" t="s">
        <v>1302</v>
      </c>
      <c r="B12" s="872" t="s">
        <v>33</v>
      </c>
      <c r="C12" s="890" t="s">
        <v>1115</v>
      </c>
      <c r="D12" s="873" t="s">
        <v>737</v>
      </c>
      <c r="E12" s="889">
        <v>1</v>
      </c>
      <c r="F12" s="875">
        <f>CPUE!H12</f>
        <v>2900</v>
      </c>
      <c r="G12" s="875">
        <f>CPUE!I11</f>
        <v>0</v>
      </c>
      <c r="H12" s="875">
        <f t="shared" si="1"/>
        <v>2900</v>
      </c>
      <c r="I12" s="875">
        <f t="shared" si="2"/>
        <v>3480.3627690611738</v>
      </c>
      <c r="J12" s="875">
        <f t="shared" si="3"/>
        <v>0</v>
      </c>
      <c r="K12" s="875">
        <f t="shared" si="4"/>
        <v>3480.3627690611738</v>
      </c>
      <c r="L12" s="877">
        <f t="shared" si="0"/>
        <v>1.2707687592083614E-3</v>
      </c>
      <c r="M12" s="190"/>
      <c r="N12" s="190"/>
      <c r="O12" s="190"/>
    </row>
    <row r="13" spans="1:15" s="193" customFormat="1" ht="42">
      <c r="A13" s="876" t="s">
        <v>712</v>
      </c>
      <c r="B13" s="872" t="s">
        <v>34</v>
      </c>
      <c r="C13" s="872" t="s">
        <v>2488</v>
      </c>
      <c r="D13" s="873" t="s">
        <v>10</v>
      </c>
      <c r="E13" s="889">
        <v>1.25</v>
      </c>
      <c r="F13" s="875">
        <f>SUM('CPU SINAPI ND OBRA'!K11:K15)</f>
        <v>483.45000000000005</v>
      </c>
      <c r="G13" s="875">
        <f>'CPU SINAPI ND OBRA'!K10</f>
        <v>21303.83</v>
      </c>
      <c r="H13" s="875">
        <f t="shared" si="1"/>
        <v>27234.100000000002</v>
      </c>
      <c r="I13" s="875">
        <f t="shared" si="2"/>
        <v>725.25059513044164</v>
      </c>
      <c r="J13" s="875">
        <f t="shared" si="3"/>
        <v>35627.791079175935</v>
      </c>
      <c r="K13" s="875">
        <f t="shared" si="4"/>
        <v>36353.041674306376</v>
      </c>
      <c r="L13" s="877">
        <f t="shared" si="0"/>
        <v>1.3273417953028385E-2</v>
      </c>
      <c r="M13" s="192"/>
      <c r="N13" s="192"/>
      <c r="O13" s="192"/>
    </row>
    <row r="14" spans="1:15" s="193" customFormat="1">
      <c r="A14" s="876" t="s">
        <v>2110</v>
      </c>
      <c r="B14" s="872" t="s">
        <v>35</v>
      </c>
      <c r="C14" s="872" t="s">
        <v>2486</v>
      </c>
      <c r="D14" s="873" t="s">
        <v>10</v>
      </c>
      <c r="E14" s="889">
        <v>1.25</v>
      </c>
      <c r="F14" s="875">
        <f>SUM('CPU SINAPI ND OBRA'!K19:K20,'CPU SINAPI ND OBRA'!K22:K24)</f>
        <v>686.61</v>
      </c>
      <c r="G14" s="875">
        <f>'CPU SINAPI ND OBRA'!K21</f>
        <v>18906.080000000002</v>
      </c>
      <c r="H14" s="875">
        <f t="shared" ref="H14" si="5">E14*(F14+G14)</f>
        <v>24490.862500000003</v>
      </c>
      <c r="I14" s="875">
        <f t="shared" si="2"/>
        <v>1030.0223624418504</v>
      </c>
      <c r="J14" s="875">
        <f t="shared" si="3"/>
        <v>31617.876614964851</v>
      </c>
      <c r="K14" s="875">
        <f t="shared" ref="K14" si="6">I14+J14</f>
        <v>32647.898977406701</v>
      </c>
      <c r="L14" s="877">
        <f t="shared" si="0"/>
        <v>1.192057633850347E-2</v>
      </c>
      <c r="M14" s="192"/>
      <c r="N14" s="192"/>
      <c r="O14" s="192"/>
    </row>
    <row r="15" spans="1:15" s="193" customFormat="1">
      <c r="A15" s="876" t="s">
        <v>2110</v>
      </c>
      <c r="B15" s="872" t="s">
        <v>35</v>
      </c>
      <c r="C15" s="872" t="s">
        <v>2487</v>
      </c>
      <c r="D15" s="873" t="s">
        <v>10</v>
      </c>
      <c r="E15" s="889">
        <v>1.25</v>
      </c>
      <c r="F15" s="875">
        <f>F14</f>
        <v>686.61</v>
      </c>
      <c r="G15" s="875">
        <f>G14</f>
        <v>18906.080000000002</v>
      </c>
      <c r="H15" s="875">
        <f t="shared" ref="H15" si="7">E15*(F15+G15)</f>
        <v>24490.862500000003</v>
      </c>
      <c r="I15" s="875">
        <f t="shared" si="2"/>
        <v>1030.0223624418504</v>
      </c>
      <c r="J15" s="875">
        <f t="shared" si="3"/>
        <v>31617.876614964851</v>
      </c>
      <c r="K15" s="875">
        <f t="shared" ref="K15" si="8">I15+J15</f>
        <v>32647.898977406701</v>
      </c>
      <c r="L15" s="877">
        <f t="shared" si="0"/>
        <v>1.192057633850347E-2</v>
      </c>
      <c r="M15" s="192"/>
      <c r="N15" s="192"/>
      <c r="O15" s="192"/>
    </row>
    <row r="16" spans="1:15" s="193" customFormat="1">
      <c r="A16" s="876" t="s">
        <v>713</v>
      </c>
      <c r="B16" s="872" t="s">
        <v>36</v>
      </c>
      <c r="C16" s="872" t="s">
        <v>11</v>
      </c>
      <c r="D16" s="873" t="s">
        <v>10</v>
      </c>
      <c r="E16" s="889">
        <v>5</v>
      </c>
      <c r="F16" s="875">
        <f>SUM('CPU SINAPI ND OBRA'!K29:K33)</f>
        <v>514.51</v>
      </c>
      <c r="G16" s="875">
        <f>'CPU SINAPI ND OBRA'!K28</f>
        <v>9835.19</v>
      </c>
      <c r="H16" s="875">
        <f t="shared" si="1"/>
        <v>51748.5</v>
      </c>
      <c r="I16" s="875">
        <f t="shared" si="2"/>
        <v>3087.3818074304563</v>
      </c>
      <c r="J16" s="875">
        <f t="shared" si="3"/>
        <v>65792.131188429572</v>
      </c>
      <c r="K16" s="875">
        <f t="shared" si="4"/>
        <v>68879.51299586003</v>
      </c>
      <c r="L16" s="877">
        <f t="shared" si="0"/>
        <v>2.5149657973222262E-2</v>
      </c>
      <c r="M16" s="192"/>
      <c r="N16" s="192"/>
      <c r="O16" s="192"/>
    </row>
    <row r="17" spans="1:15" s="193" customFormat="1">
      <c r="A17" s="876" t="s">
        <v>714</v>
      </c>
      <c r="B17" s="872" t="s">
        <v>37</v>
      </c>
      <c r="C17" s="872" t="s">
        <v>2496</v>
      </c>
      <c r="D17" s="873" t="s">
        <v>10</v>
      </c>
      <c r="E17" s="889">
        <v>2.5</v>
      </c>
      <c r="F17" s="875">
        <f>SUM('CPU SINAPI ND OBRA'!K37:K38,'CPU SINAPI ND OBRA'!K40:K42)</f>
        <v>380.75</v>
      </c>
      <c r="G17" s="875">
        <f>'CPU SINAPI ND OBRA'!K39</f>
        <v>6934.19</v>
      </c>
      <c r="H17" s="875">
        <f t="shared" si="1"/>
        <v>18287.349999999999</v>
      </c>
      <c r="I17" s="875">
        <f t="shared" si="2"/>
        <v>1142.3690726896914</v>
      </c>
      <c r="J17" s="875">
        <f t="shared" si="3"/>
        <v>23193.000753696488</v>
      </c>
      <c r="K17" s="875">
        <f t="shared" si="4"/>
        <v>24335.369826386181</v>
      </c>
      <c r="L17" s="877">
        <f t="shared" si="0"/>
        <v>8.8854610197704378E-3</v>
      </c>
      <c r="M17" s="192"/>
      <c r="N17" s="192"/>
      <c r="O17" s="192"/>
    </row>
    <row r="18" spans="1:15" s="193" customFormat="1">
      <c r="A18" s="876" t="s">
        <v>1540</v>
      </c>
      <c r="B18" s="872" t="s">
        <v>1520</v>
      </c>
      <c r="C18" s="872" t="s">
        <v>1541</v>
      </c>
      <c r="D18" s="873" t="s">
        <v>818</v>
      </c>
      <c r="E18" s="874">
        <v>2</v>
      </c>
      <c r="F18" s="875">
        <f>CPUE!H870</f>
        <v>425</v>
      </c>
      <c r="G18" s="875">
        <f>CPUE!I870</f>
        <v>52.750450000000001</v>
      </c>
      <c r="H18" s="875">
        <f t="shared" ref="H18" si="9">E18*(F18+G18)</f>
        <v>955.5009</v>
      </c>
      <c r="I18" s="875">
        <f t="shared" si="2"/>
        <v>1020.1063288627579</v>
      </c>
      <c r="J18" s="875">
        <f t="shared" si="3"/>
        <v>141.14885535098739</v>
      </c>
      <c r="K18" s="875">
        <f t="shared" ref="K18" si="10">I18+J18</f>
        <v>1161.2551842137452</v>
      </c>
      <c r="L18" s="877">
        <f t="shared" si="0"/>
        <v>4.240037339457128E-4</v>
      </c>
      <c r="M18" s="190"/>
      <c r="N18" s="190"/>
      <c r="O18" s="190"/>
    </row>
    <row r="19" spans="1:15" s="191" customFormat="1">
      <c r="A19" s="892" t="s">
        <v>1303</v>
      </c>
      <c r="B19" s="872" t="s">
        <v>364</v>
      </c>
      <c r="C19" s="872" t="s">
        <v>31</v>
      </c>
      <c r="D19" s="873" t="s">
        <v>737</v>
      </c>
      <c r="E19" s="874">
        <v>3</v>
      </c>
      <c r="F19" s="875">
        <f>CPUE!H16</f>
        <v>233.94</v>
      </c>
      <c r="G19" s="875">
        <v>0</v>
      </c>
      <c r="H19" s="875">
        <f t="shared" si="1"/>
        <v>701.81999999999994</v>
      </c>
      <c r="I19" s="875">
        <f t="shared" si="2"/>
        <v>842.2717926146596</v>
      </c>
      <c r="J19" s="875">
        <f t="shared" si="3"/>
        <v>0</v>
      </c>
      <c r="K19" s="875">
        <f t="shared" si="4"/>
        <v>842.2717926146596</v>
      </c>
      <c r="L19" s="877">
        <f t="shared" si="0"/>
        <v>3.0753480365090075E-4</v>
      </c>
      <c r="M19" s="190"/>
      <c r="N19" s="190"/>
      <c r="O19" s="190"/>
    </row>
    <row r="20" spans="1:15" ht="21.75" thickBot="1">
      <c r="A20" s="935">
        <v>2</v>
      </c>
      <c r="B20" s="936"/>
      <c r="C20" s="937" t="s">
        <v>89</v>
      </c>
      <c r="D20" s="938"/>
      <c r="E20" s="938"/>
      <c r="F20" s="938"/>
      <c r="G20" s="936"/>
      <c r="H20" s="869">
        <f>H21+H43+H60+H62+H69+H72+H78+H85+H114</f>
        <v>961457.29661130579</v>
      </c>
      <c r="I20" s="869">
        <f>I21+I43+I60+I62+I69+I72+I78+I85+I114</f>
        <v>966834.21671534481</v>
      </c>
      <c r="J20" s="870">
        <f>J21+J43+J60+J62+J69+J72+J78+J85+J114</f>
        <v>153572.92001503482</v>
      </c>
      <c r="K20" s="869">
        <f>K21+K43+K60+K62+K69+K72+K78+K85+K114</f>
        <v>1120407.1367303797</v>
      </c>
      <c r="L20" s="871">
        <f t="shared" si="0"/>
        <v>0.40908907531358318</v>
      </c>
      <c r="M20" s="190"/>
      <c r="N20" s="190"/>
      <c r="O20" s="190"/>
    </row>
    <row r="21" spans="1:15" ht="21.75" thickBot="1">
      <c r="A21" s="924" t="s">
        <v>22</v>
      </c>
      <c r="B21" s="925"/>
      <c r="C21" s="926" t="s">
        <v>97</v>
      </c>
      <c r="D21" s="927"/>
      <c r="E21" s="927"/>
      <c r="F21" s="927"/>
      <c r="G21" s="925"/>
      <c r="H21" s="833">
        <f>SUM(H22:H42)</f>
        <v>73395.085587259993</v>
      </c>
      <c r="I21" s="833">
        <f>SUM(I22:I42)</f>
        <v>24847.807225420176</v>
      </c>
      <c r="J21" s="834">
        <f>SUM(J22:J42)</f>
        <v>70494.53926851938</v>
      </c>
      <c r="K21" s="833">
        <f>SUM(K22:K42)</f>
        <v>95342.346493939549</v>
      </c>
      <c r="L21" s="830">
        <f t="shared" si="0"/>
        <v>3.4811909962707582E-2</v>
      </c>
      <c r="M21" s="190"/>
      <c r="N21" s="190"/>
      <c r="O21" s="190"/>
    </row>
    <row r="22" spans="1:15" s="193" customFormat="1">
      <c r="A22" s="717" t="s">
        <v>1517</v>
      </c>
      <c r="B22" s="718" t="s">
        <v>23</v>
      </c>
      <c r="C22" s="718" t="s">
        <v>394</v>
      </c>
      <c r="D22" s="719" t="s">
        <v>4</v>
      </c>
      <c r="E22" s="720">
        <v>22.52</v>
      </c>
      <c r="F22" s="721">
        <v>0</v>
      </c>
      <c r="G22" s="721">
        <f>SUM('CPU SINAPI ND OBRA'!K57:K58)</f>
        <v>18.759819999999998</v>
      </c>
      <c r="H22" s="721">
        <f>E22*(F22+G22)</f>
        <v>422.47114639999995</v>
      </c>
      <c r="I22" s="721">
        <f t="shared" ref="I22:I42" si="11">E22*F22*(1+$G$436)</f>
        <v>0</v>
      </c>
      <c r="J22" s="722">
        <f t="shared" ref="J22:J42" si="12">E22*G22*(1+$G$436)*(1+$H$7)</f>
        <v>565.22094819266385</v>
      </c>
      <c r="K22" s="721">
        <f>I22+J22</f>
        <v>565.22094819266385</v>
      </c>
      <c r="L22" s="723">
        <f t="shared" si="0"/>
        <v>2.0637651034495944E-4</v>
      </c>
      <c r="M22" s="192"/>
      <c r="N22" s="192"/>
      <c r="O22" s="192"/>
    </row>
    <row r="23" spans="1:15" s="193" customFormat="1">
      <c r="A23" s="710" t="s">
        <v>1449</v>
      </c>
      <c r="B23" s="194" t="s">
        <v>24</v>
      </c>
      <c r="C23" s="194" t="s">
        <v>395</v>
      </c>
      <c r="D23" s="222" t="s">
        <v>4</v>
      </c>
      <c r="E23" s="195">
        <v>25.89</v>
      </c>
      <c r="F23" s="196">
        <v>0</v>
      </c>
      <c r="G23" s="196">
        <f>CPUE!I834</f>
        <v>84.334540000000004</v>
      </c>
      <c r="H23" s="196">
        <f>E23*(F23+G23)</f>
        <v>2183.4212406000001</v>
      </c>
      <c r="I23" s="196">
        <f t="shared" si="11"/>
        <v>0</v>
      </c>
      <c r="J23" s="189">
        <f t="shared" si="12"/>
        <v>2921.1827468744136</v>
      </c>
      <c r="K23" s="196">
        <f>I23+J23</f>
        <v>2921.1827468744136</v>
      </c>
      <c r="L23" s="709">
        <f t="shared" si="0"/>
        <v>1.0665979442332162E-3</v>
      </c>
      <c r="M23" s="190"/>
      <c r="N23" s="190"/>
      <c r="O23" s="190"/>
    </row>
    <row r="24" spans="1:15" s="193" customFormat="1">
      <c r="A24" s="710" t="s">
        <v>716</v>
      </c>
      <c r="B24" s="194" t="s">
        <v>25</v>
      </c>
      <c r="C24" s="194" t="s">
        <v>334</v>
      </c>
      <c r="D24" s="222" t="s">
        <v>4</v>
      </c>
      <c r="E24" s="195">
        <v>709.64</v>
      </c>
      <c r="F24" s="196">
        <v>0</v>
      </c>
      <c r="G24" s="196">
        <f>SUM('CPU SINAPI ND OBRA'!K62:K63)</f>
        <v>5.8392020000000002</v>
      </c>
      <c r="H24" s="196">
        <f t="shared" ref="H24:H39" si="13">E24*(F24+G24)</f>
        <v>4143.7313072799998</v>
      </c>
      <c r="I24" s="196">
        <f t="shared" si="11"/>
        <v>0</v>
      </c>
      <c r="J24" s="189">
        <f t="shared" si="12"/>
        <v>5543.866743360697</v>
      </c>
      <c r="K24" s="196">
        <f t="shared" ref="K24:K39" si="14">I24+J24</f>
        <v>5543.866743360697</v>
      </c>
      <c r="L24" s="709">
        <f t="shared" si="0"/>
        <v>2.0242064204638501E-3</v>
      </c>
      <c r="M24" s="192"/>
      <c r="N24" s="192"/>
      <c r="O24" s="192"/>
    </row>
    <row r="25" spans="1:15" s="193" customFormat="1">
      <c r="A25" s="710" t="s">
        <v>830</v>
      </c>
      <c r="B25" s="194" t="s">
        <v>26</v>
      </c>
      <c r="C25" s="194" t="s">
        <v>335</v>
      </c>
      <c r="D25" s="222" t="s">
        <v>4</v>
      </c>
      <c r="E25" s="195">
        <v>255.09</v>
      </c>
      <c r="F25" s="196">
        <v>0</v>
      </c>
      <c r="G25" s="196">
        <f>SUM('CPU SINAPI ND OBRA'!K67:K68)</f>
        <v>2.137035</v>
      </c>
      <c r="H25" s="196">
        <f t="shared" si="13"/>
        <v>545.13625815</v>
      </c>
      <c r="I25" s="196">
        <f t="shared" si="11"/>
        <v>0</v>
      </c>
      <c r="J25" s="189">
        <f t="shared" si="12"/>
        <v>729.33367249182584</v>
      </c>
      <c r="K25" s="196">
        <f t="shared" si="14"/>
        <v>729.33367249182584</v>
      </c>
      <c r="L25" s="709">
        <f t="shared" si="0"/>
        <v>2.6629823025354414E-4</v>
      </c>
      <c r="M25" s="192"/>
      <c r="N25" s="192"/>
      <c r="O25" s="192"/>
    </row>
    <row r="26" spans="1:15" s="193" customFormat="1">
      <c r="A26" s="710" t="s">
        <v>769</v>
      </c>
      <c r="B26" s="194" t="s">
        <v>38</v>
      </c>
      <c r="C26" s="194" t="s">
        <v>1098</v>
      </c>
      <c r="D26" s="222" t="s">
        <v>4</v>
      </c>
      <c r="E26" s="195">
        <v>69.84</v>
      </c>
      <c r="F26" s="196">
        <v>0</v>
      </c>
      <c r="G26" s="196">
        <f>SUM('CPU SINAPI ND OBRA'!K72:K73)</f>
        <v>10.874993</v>
      </c>
      <c r="H26" s="196">
        <f>E26*(F26+G26)</f>
        <v>759.50951112000007</v>
      </c>
      <c r="I26" s="196">
        <f t="shared" si="11"/>
        <v>0</v>
      </c>
      <c r="J26" s="189">
        <f t="shared" si="12"/>
        <v>1016.1420245967195</v>
      </c>
      <c r="K26" s="196">
        <f>I26+J26</f>
        <v>1016.1420245967195</v>
      </c>
      <c r="L26" s="709">
        <f t="shared" si="0"/>
        <v>3.7101923720571464E-4</v>
      </c>
      <c r="M26" s="192"/>
      <c r="N26" s="192"/>
      <c r="O26" s="192"/>
    </row>
    <row r="27" spans="1:15" s="193" customFormat="1">
      <c r="A27" s="710" t="s">
        <v>715</v>
      </c>
      <c r="B27" s="194" t="s">
        <v>39</v>
      </c>
      <c r="C27" s="194" t="s">
        <v>398</v>
      </c>
      <c r="D27" s="222" t="s">
        <v>4</v>
      </c>
      <c r="E27" s="195">
        <v>707.32</v>
      </c>
      <c r="F27" s="196">
        <v>0</v>
      </c>
      <c r="G27" s="196">
        <f>SUM('CPU SINAPI ND OBRA'!K77:K78)</f>
        <v>9.819585</v>
      </c>
      <c r="H27" s="196">
        <f t="shared" si="13"/>
        <v>6945.5888622000002</v>
      </c>
      <c r="I27" s="196">
        <f t="shared" si="11"/>
        <v>0</v>
      </c>
      <c r="J27" s="189">
        <f t="shared" si="12"/>
        <v>9292.4507529139264</v>
      </c>
      <c r="K27" s="196">
        <f t="shared" si="14"/>
        <v>9292.4507529139264</v>
      </c>
      <c r="L27" s="709">
        <f t="shared" si="0"/>
        <v>3.3929095605371583E-3</v>
      </c>
      <c r="M27" s="192"/>
      <c r="N27" s="192"/>
      <c r="O27" s="192"/>
    </row>
    <row r="28" spans="1:15" s="193" customFormat="1">
      <c r="A28" s="710" t="s">
        <v>703</v>
      </c>
      <c r="B28" s="194" t="s">
        <v>93</v>
      </c>
      <c r="C28" s="194" t="s">
        <v>396</v>
      </c>
      <c r="D28" s="222" t="s">
        <v>4</v>
      </c>
      <c r="E28" s="195">
        <v>56.12</v>
      </c>
      <c r="F28" s="196">
        <v>0</v>
      </c>
      <c r="G28" s="196">
        <f>SUM('CPU SINAPI ND OBRA'!K82:K83)</f>
        <v>27.155563999999998</v>
      </c>
      <c r="H28" s="196">
        <f t="shared" si="13"/>
        <v>1523.9702516799998</v>
      </c>
      <c r="I28" s="196">
        <f t="shared" si="11"/>
        <v>0</v>
      </c>
      <c r="J28" s="189">
        <f t="shared" si="12"/>
        <v>2038.9082615749073</v>
      </c>
      <c r="K28" s="196">
        <f t="shared" si="14"/>
        <v>2038.9082615749073</v>
      </c>
      <c r="L28" s="709">
        <f t="shared" si="0"/>
        <v>7.4445714243752186E-4</v>
      </c>
      <c r="M28" s="192"/>
      <c r="N28" s="192"/>
      <c r="O28" s="192"/>
    </row>
    <row r="29" spans="1:15" s="193" customFormat="1">
      <c r="A29" s="710" t="s">
        <v>703</v>
      </c>
      <c r="B29" s="194" t="s">
        <v>94</v>
      </c>
      <c r="C29" s="194" t="s">
        <v>1651</v>
      </c>
      <c r="D29" s="222" t="s">
        <v>4</v>
      </c>
      <c r="E29" s="195">
        <v>56.29</v>
      </c>
      <c r="F29" s="196">
        <v>0</v>
      </c>
      <c r="G29" s="196">
        <f>SUM('CPU SINAPI ND OBRA'!K87:K88)</f>
        <v>27.155563999999998</v>
      </c>
      <c r="H29" s="196">
        <f t="shared" ref="H29" si="15">E29*(F29+G29)</f>
        <v>1528.5866975599999</v>
      </c>
      <c r="I29" s="196">
        <f t="shared" si="11"/>
        <v>0</v>
      </c>
      <c r="J29" s="189">
        <f t="shared" si="12"/>
        <v>2045.0845695661358</v>
      </c>
      <c r="K29" s="196">
        <f t="shared" ref="K29" si="16">I29+J29</f>
        <v>2045.0845695661358</v>
      </c>
      <c r="L29" s="709">
        <f t="shared" si="0"/>
        <v>7.4671226920541888E-4</v>
      </c>
      <c r="M29" s="192"/>
      <c r="N29" s="192"/>
      <c r="O29" s="192"/>
    </row>
    <row r="30" spans="1:15" s="193" customFormat="1">
      <c r="A30" s="710" t="s">
        <v>1453</v>
      </c>
      <c r="B30" s="194" t="s">
        <v>95</v>
      </c>
      <c r="C30" s="194" t="s">
        <v>397</v>
      </c>
      <c r="D30" s="222" t="s">
        <v>4</v>
      </c>
      <c r="E30" s="195">
        <v>53.74</v>
      </c>
      <c r="F30" s="196">
        <v>0</v>
      </c>
      <c r="G30" s="196">
        <f>CPUE!I840</f>
        <v>26.858999999999998</v>
      </c>
      <c r="H30" s="196">
        <f t="shared" si="13"/>
        <v>1443.40266</v>
      </c>
      <c r="I30" s="196">
        <f t="shared" si="11"/>
        <v>0</v>
      </c>
      <c r="J30" s="189">
        <f t="shared" si="12"/>
        <v>1931.1174906524061</v>
      </c>
      <c r="K30" s="196">
        <f t="shared" si="14"/>
        <v>1931.1174906524061</v>
      </c>
      <c r="L30" s="709">
        <f t="shared" si="0"/>
        <v>7.0509999684426256E-4</v>
      </c>
      <c r="M30" s="190"/>
      <c r="N30" s="190"/>
      <c r="O30" s="190"/>
    </row>
    <row r="31" spans="1:15" s="193" customFormat="1">
      <c r="A31" s="710" t="s">
        <v>1116</v>
      </c>
      <c r="B31" s="194" t="s">
        <v>96</v>
      </c>
      <c r="C31" s="194" t="s">
        <v>1097</v>
      </c>
      <c r="D31" s="222" t="s">
        <v>4</v>
      </c>
      <c r="E31" s="195">
        <v>13.94</v>
      </c>
      <c r="F31" s="196">
        <v>0</v>
      </c>
      <c r="G31" s="196">
        <f>SUM('CPU SINAPI ND OBRA'!K92:K93)</f>
        <v>3.9052069999999999</v>
      </c>
      <c r="H31" s="196">
        <f t="shared" ref="H31" si="17">E31*(F31+G31)</f>
        <v>54.438585579999994</v>
      </c>
      <c r="I31" s="196">
        <f t="shared" si="11"/>
        <v>0</v>
      </c>
      <c r="J31" s="189">
        <f t="shared" si="12"/>
        <v>72.832971486914019</v>
      </c>
      <c r="K31" s="196">
        <f t="shared" ref="K31" si="18">I31+J31</f>
        <v>72.832971486914019</v>
      </c>
      <c r="L31" s="709">
        <f t="shared" si="0"/>
        <v>2.6593165985064842E-5</v>
      </c>
      <c r="M31" s="192"/>
      <c r="N31" s="192"/>
      <c r="O31" s="192"/>
    </row>
    <row r="32" spans="1:15" s="193" customFormat="1" ht="42">
      <c r="A32" s="710" t="s">
        <v>717</v>
      </c>
      <c r="B32" s="194" t="s">
        <v>336</v>
      </c>
      <c r="C32" s="194" t="s">
        <v>2502</v>
      </c>
      <c r="D32" s="222" t="s">
        <v>4</v>
      </c>
      <c r="E32" s="195">
        <v>840.94</v>
      </c>
      <c r="F32" s="196">
        <v>0</v>
      </c>
      <c r="G32" s="196">
        <f>SUM('CPU SINAPI ND OBRA'!K97:K98)</f>
        <v>28.863273</v>
      </c>
      <c r="H32" s="196">
        <f t="shared" si="13"/>
        <v>24272.280796620002</v>
      </c>
      <c r="I32" s="196">
        <f t="shared" si="11"/>
        <v>0</v>
      </c>
      <c r="J32" s="189">
        <f t="shared" si="12"/>
        <v>32473.700709668501</v>
      </c>
      <c r="K32" s="196">
        <f t="shared" si="14"/>
        <v>32473.700709668501</v>
      </c>
      <c r="L32" s="709">
        <f t="shared" si="0"/>
        <v>1.1856972130770369E-2</v>
      </c>
      <c r="M32" s="192"/>
      <c r="N32" s="192"/>
      <c r="O32" s="192"/>
    </row>
    <row r="33" spans="1:15" s="193" customFormat="1">
      <c r="A33" s="710" t="s">
        <v>1117</v>
      </c>
      <c r="B33" s="194" t="s">
        <v>389</v>
      </c>
      <c r="C33" s="194" t="s">
        <v>1099</v>
      </c>
      <c r="D33" s="221" t="s">
        <v>737</v>
      </c>
      <c r="E33" s="195">
        <v>180</v>
      </c>
      <c r="F33" s="196">
        <v>0</v>
      </c>
      <c r="G33" s="196">
        <f>SUM('CPU SINAPI ND OBRA'!K102:K103)</f>
        <v>1.5188079999999999</v>
      </c>
      <c r="H33" s="196">
        <f t="shared" ref="H33" si="19">E33*(F33+G33)</f>
        <v>273.38544000000002</v>
      </c>
      <c r="I33" s="196">
        <f t="shared" si="11"/>
        <v>0</v>
      </c>
      <c r="J33" s="189">
        <f t="shared" si="12"/>
        <v>365.76031034451881</v>
      </c>
      <c r="K33" s="196">
        <f t="shared" ref="K33" si="20">I33+J33</f>
        <v>365.76031034451881</v>
      </c>
      <c r="L33" s="709">
        <f t="shared" si="0"/>
        <v>1.3354837026645589E-4</v>
      </c>
      <c r="M33" s="192"/>
      <c r="N33" s="192"/>
      <c r="O33" s="192"/>
    </row>
    <row r="34" spans="1:15" s="193" customFormat="1">
      <c r="A34" s="710" t="s">
        <v>1118</v>
      </c>
      <c r="B34" s="194" t="s">
        <v>399</v>
      </c>
      <c r="C34" s="194" t="s">
        <v>1100</v>
      </c>
      <c r="D34" s="221" t="s">
        <v>737</v>
      </c>
      <c r="E34" s="195">
        <v>54</v>
      </c>
      <c r="F34" s="196">
        <v>0</v>
      </c>
      <c r="G34" s="196">
        <f>SUM('CPU SINAPI ND OBRA'!K107:K108)</f>
        <v>1.8022659999999999</v>
      </c>
      <c r="H34" s="196">
        <f t="shared" ref="H34" si="21">E34*(F34+G34)</f>
        <v>97.322363999999993</v>
      </c>
      <c r="I34" s="196">
        <f t="shared" si="11"/>
        <v>0</v>
      </c>
      <c r="J34" s="189">
        <f t="shared" si="12"/>
        <v>130.20685395719033</v>
      </c>
      <c r="K34" s="196">
        <f t="shared" ref="K34" si="22">I34+J34</f>
        <v>130.20685395719033</v>
      </c>
      <c r="L34" s="709">
        <f t="shared" si="0"/>
        <v>4.7541826304571286E-5</v>
      </c>
      <c r="M34" s="192"/>
      <c r="N34" s="192"/>
      <c r="O34" s="192"/>
    </row>
    <row r="35" spans="1:15" s="193" customFormat="1">
      <c r="A35" s="710" t="s">
        <v>1118</v>
      </c>
      <c r="B35" s="194" t="s">
        <v>400</v>
      </c>
      <c r="C35" s="194" t="s">
        <v>1101</v>
      </c>
      <c r="D35" s="221" t="s">
        <v>737</v>
      </c>
      <c r="E35" s="195">
        <v>131</v>
      </c>
      <c r="F35" s="196">
        <v>0</v>
      </c>
      <c r="G35" s="196">
        <f>SUM('CPU SINAPI ND OBRA'!K112:K113)</f>
        <v>1.8022659999999999</v>
      </c>
      <c r="H35" s="196">
        <f t="shared" ref="H35:H36" si="23">E35*(F35+G35)</f>
        <v>236.096846</v>
      </c>
      <c r="I35" s="196">
        <f t="shared" si="11"/>
        <v>0</v>
      </c>
      <c r="J35" s="189">
        <f t="shared" si="12"/>
        <v>315.87218274799881</v>
      </c>
      <c r="K35" s="196">
        <f t="shared" ref="K35:K36" si="24">I35+J35</f>
        <v>315.87218274799881</v>
      </c>
      <c r="L35" s="709">
        <f t="shared" si="0"/>
        <v>1.1533294899812666E-4</v>
      </c>
      <c r="M35" s="192"/>
      <c r="N35" s="192"/>
      <c r="O35" s="192"/>
    </row>
    <row r="36" spans="1:15" s="193" customFormat="1">
      <c r="A36" s="710" t="s">
        <v>1118</v>
      </c>
      <c r="B36" s="194" t="s">
        <v>401</v>
      </c>
      <c r="C36" s="194" t="s">
        <v>1102</v>
      </c>
      <c r="D36" s="221" t="s">
        <v>737</v>
      </c>
      <c r="E36" s="195">
        <v>52</v>
      </c>
      <c r="F36" s="196">
        <v>0</v>
      </c>
      <c r="G36" s="196">
        <f>SUM('CPU SINAPI ND OBRA'!K117:K118)</f>
        <v>1.8022659999999999</v>
      </c>
      <c r="H36" s="196">
        <f t="shared" si="23"/>
        <v>93.717832000000001</v>
      </c>
      <c r="I36" s="196">
        <f t="shared" si="11"/>
        <v>0</v>
      </c>
      <c r="J36" s="189">
        <f t="shared" si="12"/>
        <v>125.38437788470182</v>
      </c>
      <c r="K36" s="196">
        <f t="shared" si="24"/>
        <v>125.38437788470182</v>
      </c>
      <c r="L36" s="709">
        <f t="shared" si="0"/>
        <v>4.5781017922920507E-5</v>
      </c>
      <c r="M36" s="192"/>
      <c r="N36" s="192"/>
      <c r="O36" s="192"/>
    </row>
    <row r="37" spans="1:15" s="193" customFormat="1">
      <c r="A37" s="710" t="s">
        <v>704</v>
      </c>
      <c r="B37" s="194" t="s">
        <v>768</v>
      </c>
      <c r="C37" s="194" t="s">
        <v>92</v>
      </c>
      <c r="D37" s="221" t="s">
        <v>737</v>
      </c>
      <c r="E37" s="195">
        <v>19</v>
      </c>
      <c r="F37" s="196">
        <v>0</v>
      </c>
      <c r="G37" s="196">
        <f>SUM('CPU SINAPI ND OBRA'!K122:K123)</f>
        <v>14.427766999999999</v>
      </c>
      <c r="H37" s="196">
        <f t="shared" si="13"/>
        <v>274.12757299999998</v>
      </c>
      <c r="I37" s="196">
        <f t="shared" si="11"/>
        <v>0</v>
      </c>
      <c r="J37" s="189">
        <f t="shared" si="12"/>
        <v>366.75320446644753</v>
      </c>
      <c r="K37" s="196">
        <f t="shared" si="14"/>
        <v>366.75320446644753</v>
      </c>
      <c r="L37" s="709">
        <f t="shared" si="0"/>
        <v>1.3391090110449522E-4</v>
      </c>
      <c r="M37" s="192"/>
      <c r="N37" s="192"/>
      <c r="O37" s="192"/>
    </row>
    <row r="38" spans="1:15" s="193" customFormat="1">
      <c r="A38" s="710" t="s">
        <v>718</v>
      </c>
      <c r="B38" s="194" t="s">
        <v>770</v>
      </c>
      <c r="C38" s="194" t="s">
        <v>90</v>
      </c>
      <c r="D38" s="222" t="s">
        <v>13</v>
      </c>
      <c r="E38" s="195">
        <v>81.320000000000007</v>
      </c>
      <c r="F38" s="196">
        <v>0</v>
      </c>
      <c r="G38" s="196">
        <f>SUM('CPU SINAPI ND OBRA'!K127:K128)</f>
        <v>0.58498300000000003</v>
      </c>
      <c r="H38" s="196">
        <f t="shared" si="13"/>
        <v>47.570817560000009</v>
      </c>
      <c r="I38" s="196">
        <f t="shared" si="11"/>
        <v>0</v>
      </c>
      <c r="J38" s="189">
        <f t="shared" si="12"/>
        <v>63.644636649589266</v>
      </c>
      <c r="K38" s="196">
        <f t="shared" si="14"/>
        <v>63.644636649589266</v>
      </c>
      <c r="L38" s="709">
        <f t="shared" si="0"/>
        <v>2.3238271787191382E-5</v>
      </c>
      <c r="M38" s="192"/>
      <c r="N38" s="192"/>
      <c r="O38" s="192"/>
    </row>
    <row r="39" spans="1:15" s="193" customFormat="1" ht="42">
      <c r="A39" s="710" t="s">
        <v>1534</v>
      </c>
      <c r="B39" s="194" t="s">
        <v>1055</v>
      </c>
      <c r="C39" s="194" t="s">
        <v>2504</v>
      </c>
      <c r="D39" s="222" t="s">
        <v>4</v>
      </c>
      <c r="E39" s="195">
        <v>961.8</v>
      </c>
      <c r="F39" s="196">
        <v>0</v>
      </c>
      <c r="G39" s="196">
        <f>CPUE!I863</f>
        <v>8.1575999999999986</v>
      </c>
      <c r="H39" s="196">
        <f t="shared" si="13"/>
        <v>7845.9796799999986</v>
      </c>
      <c r="I39" s="196">
        <f t="shared" si="11"/>
        <v>0</v>
      </c>
      <c r="J39" s="189">
        <f t="shared" si="12"/>
        <v>10497.076811089823</v>
      </c>
      <c r="K39" s="196">
        <f t="shared" si="14"/>
        <v>10497.076811089823</v>
      </c>
      <c r="L39" s="709">
        <f t="shared" si="0"/>
        <v>3.8327491010776908E-3</v>
      </c>
      <c r="M39" s="190"/>
      <c r="N39" s="190"/>
      <c r="O39" s="190"/>
    </row>
    <row r="40" spans="1:15" s="193" customFormat="1" ht="42">
      <c r="A40" s="710" t="s">
        <v>719</v>
      </c>
      <c r="B40" s="194" t="s">
        <v>1103</v>
      </c>
      <c r="C40" s="194" t="s">
        <v>2503</v>
      </c>
      <c r="D40" s="221" t="s">
        <v>737</v>
      </c>
      <c r="E40" s="195">
        <v>460</v>
      </c>
      <c r="F40" s="196">
        <f>SUM('CPU SINAPI ND OBRA'!K132:K133)</f>
        <v>0.79006799999999999</v>
      </c>
      <c r="G40" s="196">
        <v>0</v>
      </c>
      <c r="H40" s="196">
        <f>E40*(F40+G40)</f>
        <v>363.43128000000002</v>
      </c>
      <c r="I40" s="196">
        <f t="shared" si="11"/>
        <v>436.16299862905066</v>
      </c>
      <c r="J40" s="189">
        <f t="shared" si="12"/>
        <v>0</v>
      </c>
      <c r="K40" s="196">
        <f>I40+J40</f>
        <v>436.16299862905066</v>
      </c>
      <c r="L40" s="709">
        <f t="shared" si="0"/>
        <v>1.5925417818727814E-4</v>
      </c>
      <c r="M40" s="192"/>
      <c r="N40" s="192"/>
      <c r="O40" s="192"/>
    </row>
    <row r="41" spans="1:15" s="193" customFormat="1" ht="42">
      <c r="A41" s="710" t="s">
        <v>1056</v>
      </c>
      <c r="B41" s="194" t="s">
        <v>1104</v>
      </c>
      <c r="C41" s="194" t="s">
        <v>1119</v>
      </c>
      <c r="D41" s="222" t="s">
        <v>2109</v>
      </c>
      <c r="E41" s="195">
        <v>171.19</v>
      </c>
      <c r="F41" s="196">
        <f>SUM('CPU SINAPI ND OBRA'!K137:K140)</f>
        <v>9.2919289999999997</v>
      </c>
      <c r="G41" s="196">
        <v>0</v>
      </c>
      <c r="H41" s="196">
        <f>E41*(F41+G41)</f>
        <v>1590.68532551</v>
      </c>
      <c r="I41" s="196">
        <f t="shared" si="11"/>
        <v>1909.02137386102</v>
      </c>
      <c r="J41" s="189">
        <f t="shared" si="12"/>
        <v>0</v>
      </c>
      <c r="K41" s="196">
        <f>I41+J41</f>
        <v>1909.02137386102</v>
      </c>
      <c r="L41" s="709">
        <f t="shared" si="0"/>
        <v>6.9703214392734182E-4</v>
      </c>
      <c r="M41" s="190"/>
      <c r="N41" s="192"/>
      <c r="O41" s="192"/>
    </row>
    <row r="42" spans="1:15" s="193" customFormat="1" ht="42.75" thickBot="1">
      <c r="A42" s="724" t="s">
        <v>1054</v>
      </c>
      <c r="B42" s="711" t="s">
        <v>1105</v>
      </c>
      <c r="C42" s="711" t="s">
        <v>1131</v>
      </c>
      <c r="D42" s="725" t="s">
        <v>1130</v>
      </c>
      <c r="E42" s="726">
        <v>5135.08</v>
      </c>
      <c r="F42" s="714">
        <f>SUM('CPU SINAPI ND OBRA'!K144:K145)</f>
        <v>3.6514000000000002</v>
      </c>
      <c r="G42" s="714">
        <v>0</v>
      </c>
      <c r="H42" s="714">
        <f>E42*(F42+G42)</f>
        <v>18750.231112000001</v>
      </c>
      <c r="I42" s="714">
        <f t="shared" si="11"/>
        <v>22502.622852930104</v>
      </c>
      <c r="J42" s="715">
        <f t="shared" si="12"/>
        <v>0</v>
      </c>
      <c r="K42" s="714">
        <f>I42+J42</f>
        <v>22502.622852930104</v>
      </c>
      <c r="L42" s="716">
        <f t="shared" ref="L42:L73" si="25">K42/$K$436</f>
        <v>8.2162785948504333E-3</v>
      </c>
      <c r="M42" s="192"/>
      <c r="N42" s="192"/>
      <c r="O42" s="192"/>
    </row>
    <row r="43" spans="1:15" ht="21.75" thickBot="1">
      <c r="A43" s="924" t="s">
        <v>16</v>
      </c>
      <c r="B43" s="925"/>
      <c r="C43" s="926" t="s">
        <v>98</v>
      </c>
      <c r="D43" s="927"/>
      <c r="E43" s="927"/>
      <c r="F43" s="927"/>
      <c r="G43" s="925"/>
      <c r="H43" s="833">
        <f>H44+H46+H50</f>
        <v>471214.33304664993</v>
      </c>
      <c r="I43" s="833">
        <f>I44+I46+I50</f>
        <v>528977.1432487861</v>
      </c>
      <c r="J43" s="834">
        <f>J44+J46+J50</f>
        <v>5609.8418383894714</v>
      </c>
      <c r="K43" s="833">
        <f>K44+K46+K50</f>
        <v>534586.98508717562</v>
      </c>
      <c r="L43" s="830">
        <f t="shared" si="25"/>
        <v>0.19519127309576975</v>
      </c>
      <c r="M43" s="190"/>
      <c r="N43" s="190"/>
      <c r="O43" s="190"/>
    </row>
    <row r="44" spans="1:15" ht="21.75" thickBot="1">
      <c r="A44" s="924" t="s">
        <v>27</v>
      </c>
      <c r="B44" s="925"/>
      <c r="C44" s="926" t="s">
        <v>99</v>
      </c>
      <c r="D44" s="927"/>
      <c r="E44" s="927"/>
      <c r="F44" s="927"/>
      <c r="G44" s="925"/>
      <c r="H44" s="833">
        <f>SUM(H45:H45)</f>
        <v>11762.859051249998</v>
      </c>
      <c r="I44" s="833">
        <f>SUM(I45:I45)</f>
        <v>11943.139349646201</v>
      </c>
      <c r="J44" s="834">
        <f>SUM(J45:J45)</f>
        <v>2423.2982250514842</v>
      </c>
      <c r="K44" s="833">
        <f>SUM(K45:K45)</f>
        <v>14366.437574697684</v>
      </c>
      <c r="L44" s="830">
        <f t="shared" si="25"/>
        <v>5.2455508986977289E-3</v>
      </c>
      <c r="M44" s="190"/>
      <c r="N44" s="190"/>
      <c r="O44" s="190"/>
    </row>
    <row r="45" spans="1:15" s="193" customFormat="1" ht="42.75" thickBot="1">
      <c r="A45" s="727" t="s">
        <v>1305</v>
      </c>
      <c r="B45" s="728" t="s">
        <v>339</v>
      </c>
      <c r="C45" s="728" t="s">
        <v>1594</v>
      </c>
      <c r="D45" s="729" t="s">
        <v>4</v>
      </c>
      <c r="E45" s="730">
        <v>51.25</v>
      </c>
      <c r="F45" s="731">
        <f>CPUE!H32</f>
        <v>194.17714599999996</v>
      </c>
      <c r="G45" s="731">
        <f>CPUE!I32</f>
        <v>35.342055000000002</v>
      </c>
      <c r="H45" s="731">
        <f>E45*(F45+G45)</f>
        <v>11762.859051249998</v>
      </c>
      <c r="I45" s="731">
        <f>E45*F45*(1+$G$436)</f>
        <v>11943.139349646201</v>
      </c>
      <c r="J45" s="732">
        <f>E45*G45*(1+$G$436)*(1+$H$7)</f>
        <v>2423.2982250514842</v>
      </c>
      <c r="K45" s="731">
        <f>I45+J45</f>
        <v>14366.437574697684</v>
      </c>
      <c r="L45" s="733">
        <f t="shared" si="25"/>
        <v>5.2455508986977289E-3</v>
      </c>
      <c r="M45" s="190"/>
      <c r="N45" s="190"/>
      <c r="O45" s="190"/>
    </row>
    <row r="46" spans="1:15" s="197" customFormat="1" ht="21.75" thickBot="1">
      <c r="A46" s="924" t="s">
        <v>28</v>
      </c>
      <c r="B46" s="925"/>
      <c r="C46" s="926" t="s">
        <v>100</v>
      </c>
      <c r="D46" s="927"/>
      <c r="E46" s="927"/>
      <c r="F46" s="927"/>
      <c r="G46" s="925"/>
      <c r="H46" s="833">
        <f>SUM(H47:H49)</f>
        <v>4596.3154353999998</v>
      </c>
      <c r="I46" s="833">
        <f>SUM(I47:I49)</f>
        <v>3569.5165837612094</v>
      </c>
      <c r="J46" s="834">
        <f>SUM(J47:J49)</f>
        <v>2170.0994272346425</v>
      </c>
      <c r="K46" s="833">
        <f>SUM(K47:K49)</f>
        <v>5739.616010995851</v>
      </c>
      <c r="L46" s="830">
        <f t="shared" si="25"/>
        <v>2.095679445103684E-3</v>
      </c>
      <c r="M46" s="190"/>
      <c r="N46" s="190"/>
      <c r="O46" s="190"/>
    </row>
    <row r="47" spans="1:15" s="193" customFormat="1">
      <c r="A47" s="717" t="s">
        <v>705</v>
      </c>
      <c r="B47" s="718" t="s">
        <v>338</v>
      </c>
      <c r="C47" s="718" t="s">
        <v>101</v>
      </c>
      <c r="D47" s="719" t="s">
        <v>4</v>
      </c>
      <c r="E47" s="720">
        <v>25.33</v>
      </c>
      <c r="F47" s="721">
        <f>SUM('CPU SINAPI ND OBRA'!K149:K152)</f>
        <v>46.359511999999995</v>
      </c>
      <c r="G47" s="721">
        <f>SUM('CPU SINAPI ND OBRA'!K153:K154)</f>
        <v>39.039699999999996</v>
      </c>
      <c r="H47" s="721">
        <f>E47*(F47+G47)</f>
        <v>2163.1620399599997</v>
      </c>
      <c r="I47" s="721">
        <f>E47*F47*(1+$G$436)</f>
        <v>1409.290621506831</v>
      </c>
      <c r="J47" s="722">
        <f>E47*G47*(1+$G$436)*(1+$H$7)</f>
        <v>1323.0091796910708</v>
      </c>
      <c r="K47" s="721">
        <f>I47+J47</f>
        <v>2732.2998011979016</v>
      </c>
      <c r="L47" s="723">
        <f t="shared" si="25"/>
        <v>9.9763198796949345E-4</v>
      </c>
      <c r="M47" s="192"/>
      <c r="N47" s="192"/>
      <c r="O47" s="192"/>
    </row>
    <row r="48" spans="1:15" s="193" customFormat="1">
      <c r="A48" s="710" t="s">
        <v>706</v>
      </c>
      <c r="B48" s="194" t="s">
        <v>340</v>
      </c>
      <c r="C48" s="194" t="s">
        <v>105</v>
      </c>
      <c r="D48" s="222" t="s">
        <v>4</v>
      </c>
      <c r="E48" s="195">
        <v>50.66</v>
      </c>
      <c r="F48" s="196">
        <f>'CPU SINAPI ND OBRA'!K158</f>
        <v>2.6446559999999995</v>
      </c>
      <c r="G48" s="196">
        <f>SUM('CPU SINAPI ND OBRA'!K159:K160)</f>
        <v>2.4639300000000004</v>
      </c>
      <c r="H48" s="196">
        <f>E48*(F48+G48)</f>
        <v>258.80096675999999</v>
      </c>
      <c r="I48" s="196">
        <f>E48*F48*(1+$G$436)</f>
        <v>160.79068726658596</v>
      </c>
      <c r="J48" s="189">
        <f>E48*G48*(1+$G$436)*(1+$H$7)</f>
        <v>166.99933698856401</v>
      </c>
      <c r="K48" s="196">
        <f>I48+J48</f>
        <v>327.79002425515</v>
      </c>
      <c r="L48" s="709">
        <f t="shared" si="25"/>
        <v>1.1968445534083177E-4</v>
      </c>
      <c r="M48" s="192"/>
      <c r="N48" s="192"/>
      <c r="O48" s="192"/>
    </row>
    <row r="49" spans="1:15" s="193" customFormat="1" ht="21.75" thickBot="1">
      <c r="A49" s="724" t="s">
        <v>720</v>
      </c>
      <c r="B49" s="711" t="s">
        <v>341</v>
      </c>
      <c r="C49" s="711" t="s">
        <v>388</v>
      </c>
      <c r="D49" s="725" t="s">
        <v>4</v>
      </c>
      <c r="E49" s="726">
        <v>50.66</v>
      </c>
      <c r="F49" s="714">
        <f>'CPU SINAPI ND OBRA'!K164</f>
        <v>32.886347999999998</v>
      </c>
      <c r="G49" s="714">
        <f>SUM('CPU SINAPI ND OBRA'!K165:K166)</f>
        <v>10.03415</v>
      </c>
      <c r="H49" s="714">
        <f>E49*(F49+G49)</f>
        <v>2174.3524286799998</v>
      </c>
      <c r="I49" s="714">
        <f>E49*F49*(1+$G$436)</f>
        <v>1999.4352749877926</v>
      </c>
      <c r="J49" s="715">
        <f>E49*G49*(1+$G$436)*(1+$H$7)</f>
        <v>680.09091055500744</v>
      </c>
      <c r="K49" s="714">
        <f>I49+J49</f>
        <v>2679.5261855427998</v>
      </c>
      <c r="L49" s="716">
        <f t="shared" si="25"/>
        <v>9.7836300179335897E-4</v>
      </c>
      <c r="M49" s="192"/>
      <c r="N49" s="192"/>
      <c r="O49" s="192"/>
    </row>
    <row r="50" spans="1:15" ht="21.75" thickBot="1">
      <c r="A50" s="924" t="s">
        <v>29</v>
      </c>
      <c r="B50" s="925"/>
      <c r="C50" s="926" t="s">
        <v>337</v>
      </c>
      <c r="D50" s="927"/>
      <c r="E50" s="927"/>
      <c r="F50" s="927"/>
      <c r="G50" s="925"/>
      <c r="H50" s="833">
        <f>SUM(H51:H59)</f>
        <v>454855.15855999995</v>
      </c>
      <c r="I50" s="833">
        <f>SUM(I51:I59)</f>
        <v>513464.48731537868</v>
      </c>
      <c r="J50" s="834">
        <f>SUM(J51:J59)</f>
        <v>1016.4441861033442</v>
      </c>
      <c r="K50" s="833">
        <f>SUM(K51:K59)</f>
        <v>514480.93150148203</v>
      </c>
      <c r="L50" s="830">
        <f t="shared" si="25"/>
        <v>0.18785004275196832</v>
      </c>
      <c r="M50" s="190"/>
      <c r="N50" s="190"/>
      <c r="O50" s="190"/>
    </row>
    <row r="51" spans="1:15" s="191" customFormat="1" ht="84">
      <c r="A51" s="734" t="s">
        <v>1320</v>
      </c>
      <c r="B51" s="735" t="s">
        <v>342</v>
      </c>
      <c r="C51" s="735" t="s">
        <v>2499</v>
      </c>
      <c r="D51" s="719" t="s">
        <v>4</v>
      </c>
      <c r="E51" s="720">
        <v>359.71</v>
      </c>
      <c r="F51" s="736">
        <f>CPUE!H38</f>
        <v>720</v>
      </c>
      <c r="G51" s="721">
        <f>CPUE!I38</f>
        <v>0</v>
      </c>
      <c r="H51" s="721">
        <f>E51*(F51+G51)</f>
        <v>258991.19999999998</v>
      </c>
      <c r="I51" s="721">
        <f>E51*F51*(1+$K$5)</f>
        <v>292852.06794216967</v>
      </c>
      <c r="J51" s="722">
        <f t="shared" ref="J51:J59" si="26">E51*G51*(1+$G$436)*(1+$H$7)</f>
        <v>0</v>
      </c>
      <c r="K51" s="721">
        <f t="shared" ref="K51:K57" si="27">I51+J51</f>
        <v>292852.06794216967</v>
      </c>
      <c r="L51" s="723">
        <f t="shared" si="25"/>
        <v>0.10692772096020906</v>
      </c>
      <c r="M51" s="190"/>
      <c r="N51" s="190"/>
      <c r="O51" s="190"/>
    </row>
    <row r="52" spans="1:15" s="191" customFormat="1" ht="84">
      <c r="A52" s="737" t="s">
        <v>1321</v>
      </c>
      <c r="B52" s="199" t="s">
        <v>343</v>
      </c>
      <c r="C52" s="199" t="s">
        <v>2500</v>
      </c>
      <c r="D52" s="222" t="s">
        <v>4</v>
      </c>
      <c r="E52" s="195">
        <v>37.53</v>
      </c>
      <c r="F52" s="708">
        <f>CPUE!H42</f>
        <v>1250</v>
      </c>
      <c r="G52" s="196">
        <f>CPUE!I42</f>
        <v>0</v>
      </c>
      <c r="H52" s="196">
        <f t="shared" ref="H52:H54" si="28">E52*(F52+G52)</f>
        <v>46912.5</v>
      </c>
      <c r="I52" s="196">
        <f t="shared" ref="I52:I53" si="29">E52*F52*(1+$K$5)</f>
        <v>53045.905178774556</v>
      </c>
      <c r="J52" s="189">
        <f t="shared" si="26"/>
        <v>0</v>
      </c>
      <c r="K52" s="196">
        <f t="shared" ref="K52:K54" si="30">I52+J52</f>
        <v>53045.905178774556</v>
      </c>
      <c r="L52" s="709">
        <f t="shared" si="25"/>
        <v>1.9368405990419012E-2</v>
      </c>
      <c r="M52" s="190"/>
      <c r="N52" s="190"/>
      <c r="O52" s="190"/>
    </row>
    <row r="53" spans="1:15" s="191" customFormat="1" ht="42">
      <c r="A53" s="737" t="s">
        <v>1322</v>
      </c>
      <c r="B53" s="199" t="s">
        <v>344</v>
      </c>
      <c r="C53" s="199" t="s">
        <v>1123</v>
      </c>
      <c r="D53" s="222" t="s">
        <v>4</v>
      </c>
      <c r="E53" s="195">
        <v>3.81</v>
      </c>
      <c r="F53" s="708">
        <f>CPUE!H46</f>
        <v>1050</v>
      </c>
      <c r="G53" s="196">
        <f>CPUE!I46</f>
        <v>0</v>
      </c>
      <c r="H53" s="196">
        <f t="shared" si="28"/>
        <v>4000.5</v>
      </c>
      <c r="I53" s="196">
        <f t="shared" si="29"/>
        <v>4523.5309068518536</v>
      </c>
      <c r="J53" s="189">
        <f t="shared" si="26"/>
        <v>0</v>
      </c>
      <c r="K53" s="196">
        <f t="shared" si="30"/>
        <v>4523.5309068518536</v>
      </c>
      <c r="L53" s="709">
        <f t="shared" si="25"/>
        <v>1.6516559161134292E-3</v>
      </c>
      <c r="M53" s="190"/>
      <c r="N53" s="190"/>
      <c r="O53" s="190"/>
    </row>
    <row r="54" spans="1:15" s="191" customFormat="1" ht="84">
      <c r="A54" s="737" t="s">
        <v>1323</v>
      </c>
      <c r="B54" s="199" t="s">
        <v>345</v>
      </c>
      <c r="C54" s="199" t="s">
        <v>2501</v>
      </c>
      <c r="D54" s="222" t="s">
        <v>4</v>
      </c>
      <c r="E54" s="195">
        <v>145.88999999999999</v>
      </c>
      <c r="F54" s="708">
        <f>CPUE!H50</f>
        <v>510</v>
      </c>
      <c r="G54" s="196">
        <f>CPUE!I50</f>
        <v>0</v>
      </c>
      <c r="H54" s="196">
        <f t="shared" si="28"/>
        <v>74403.899999999994</v>
      </c>
      <c r="I54" s="196">
        <f>E54*F54*(1+$K$5)</f>
        <v>84131.568863970664</v>
      </c>
      <c r="J54" s="189">
        <f t="shared" si="26"/>
        <v>0</v>
      </c>
      <c r="K54" s="196">
        <f t="shared" si="30"/>
        <v>84131.568863970664</v>
      </c>
      <c r="L54" s="709">
        <f t="shared" si="25"/>
        <v>3.0718570582905131E-2</v>
      </c>
      <c r="M54" s="190"/>
      <c r="N54" s="190"/>
      <c r="O54" s="190"/>
    </row>
    <row r="55" spans="1:15" s="191" customFormat="1">
      <c r="A55" s="737" t="s">
        <v>1057</v>
      </c>
      <c r="B55" s="199" t="s">
        <v>346</v>
      </c>
      <c r="C55" s="199" t="s">
        <v>1125</v>
      </c>
      <c r="D55" s="221" t="s">
        <v>737</v>
      </c>
      <c r="E55" s="195">
        <v>19</v>
      </c>
      <c r="F55" s="708">
        <f>CPUE!H55</f>
        <v>1500</v>
      </c>
      <c r="G55" s="196">
        <f>CPUE!I55</f>
        <v>0</v>
      </c>
      <c r="H55" s="196">
        <f t="shared" ref="H55:H57" si="31">E55*(F55+G55)</f>
        <v>28500</v>
      </c>
      <c r="I55" s="196">
        <f>E55*F55*(1+$K$5)</f>
        <v>32226.129445138817</v>
      </c>
      <c r="J55" s="189">
        <f t="shared" si="26"/>
        <v>0</v>
      </c>
      <c r="K55" s="196">
        <f t="shared" si="27"/>
        <v>32226.129445138817</v>
      </c>
      <c r="L55" s="709">
        <f t="shared" si="25"/>
        <v>1.176657758011067E-2</v>
      </c>
      <c r="M55" s="190"/>
      <c r="N55" s="190"/>
      <c r="O55" s="190"/>
    </row>
    <row r="56" spans="1:15" s="191" customFormat="1" ht="42">
      <c r="A56" s="737" t="s">
        <v>1058</v>
      </c>
      <c r="B56" s="199" t="s">
        <v>347</v>
      </c>
      <c r="C56" s="199" t="s">
        <v>1126</v>
      </c>
      <c r="D56" s="221" t="s">
        <v>737</v>
      </c>
      <c r="E56" s="195">
        <v>7</v>
      </c>
      <c r="F56" s="708">
        <f>CPUE!H59</f>
        <v>2400</v>
      </c>
      <c r="G56" s="196">
        <f>CPUE!I59</f>
        <v>0</v>
      </c>
      <c r="H56" s="196">
        <f t="shared" si="31"/>
        <v>16800</v>
      </c>
      <c r="I56" s="196">
        <f t="shared" ref="I56:I58" si="32">E56*F56*(1+$K$5)</f>
        <v>18996.455251871303</v>
      </c>
      <c r="J56" s="189">
        <f t="shared" si="26"/>
        <v>0</v>
      </c>
      <c r="K56" s="196">
        <f t="shared" si="27"/>
        <v>18996.455251871303</v>
      </c>
      <c r="L56" s="709">
        <f t="shared" si="25"/>
        <v>6.9360878366968156E-3</v>
      </c>
      <c r="M56" s="190"/>
      <c r="N56" s="190"/>
      <c r="O56" s="190"/>
    </row>
    <row r="57" spans="1:15" s="191" customFormat="1" ht="42">
      <c r="A57" s="737" t="s">
        <v>1059</v>
      </c>
      <c r="B57" s="199" t="s">
        <v>348</v>
      </c>
      <c r="C57" s="199" t="s">
        <v>1127</v>
      </c>
      <c r="D57" s="221" t="s">
        <v>737</v>
      </c>
      <c r="E57" s="195">
        <v>2</v>
      </c>
      <c r="F57" s="708">
        <f>CPUE!H63</f>
        <v>4500</v>
      </c>
      <c r="G57" s="196">
        <f>CPUE!I63</f>
        <v>0</v>
      </c>
      <c r="H57" s="196">
        <f t="shared" si="31"/>
        <v>9000</v>
      </c>
      <c r="I57" s="196">
        <f t="shared" si="32"/>
        <v>10176.672456359627</v>
      </c>
      <c r="J57" s="189">
        <f t="shared" si="26"/>
        <v>0</v>
      </c>
      <c r="K57" s="196">
        <f t="shared" si="27"/>
        <v>10176.672456359627</v>
      </c>
      <c r="L57" s="709">
        <f t="shared" si="25"/>
        <v>3.7157613410875802E-3</v>
      </c>
      <c r="M57" s="190"/>
      <c r="N57" s="190"/>
      <c r="O57" s="190"/>
    </row>
    <row r="58" spans="1:15" s="191" customFormat="1">
      <c r="A58" s="737" t="s">
        <v>1060</v>
      </c>
      <c r="B58" s="199" t="s">
        <v>349</v>
      </c>
      <c r="C58" s="199" t="s">
        <v>1128</v>
      </c>
      <c r="D58" s="221" t="s">
        <v>737</v>
      </c>
      <c r="E58" s="195">
        <v>1</v>
      </c>
      <c r="F58" s="708">
        <f>CPUE!H67</f>
        <v>6300</v>
      </c>
      <c r="G58" s="196">
        <f>CPUE!I67</f>
        <v>0</v>
      </c>
      <c r="H58" s="196">
        <f t="shared" ref="H58" si="33">E58*(F58+G58)</f>
        <v>6300</v>
      </c>
      <c r="I58" s="196">
        <f t="shared" si="32"/>
        <v>7123.6707194517385</v>
      </c>
      <c r="J58" s="189">
        <f t="shared" si="26"/>
        <v>0</v>
      </c>
      <c r="K58" s="196">
        <f t="shared" ref="K58" si="34">I58+J58</f>
        <v>7123.6707194517385</v>
      </c>
      <c r="L58" s="709">
        <f t="shared" si="25"/>
        <v>2.6010329387613058E-3</v>
      </c>
      <c r="M58" s="190"/>
      <c r="N58" s="190"/>
      <c r="O58" s="190"/>
    </row>
    <row r="59" spans="1:15" s="191" customFormat="1" ht="42.75" thickBot="1">
      <c r="A59" s="738" t="s">
        <v>1062</v>
      </c>
      <c r="B59" s="739" t="s">
        <v>402</v>
      </c>
      <c r="C59" s="739" t="s">
        <v>2531</v>
      </c>
      <c r="D59" s="725" t="s">
        <v>4</v>
      </c>
      <c r="E59" s="726">
        <f>23.11+1.05</f>
        <v>24.16</v>
      </c>
      <c r="F59" s="713">
        <f>CPUE!H77</f>
        <v>380.27</v>
      </c>
      <c r="G59" s="714">
        <f>CPUE!I77</f>
        <v>31.445999999999998</v>
      </c>
      <c r="H59" s="714">
        <f t="shared" ref="H59" si="35">E59*(F59+G59)</f>
        <v>9947.0585599999995</v>
      </c>
      <c r="I59" s="714">
        <f>E59*F59*(1+$K$5)</f>
        <v>10388.48655079042</v>
      </c>
      <c r="J59" s="715">
        <f t="shared" si="26"/>
        <v>1016.4441861033442</v>
      </c>
      <c r="K59" s="714">
        <f t="shared" ref="K59" si="36">I59+J59</f>
        <v>11404.930736893764</v>
      </c>
      <c r="L59" s="716">
        <f t="shared" si="25"/>
        <v>4.1642296056652968E-3</v>
      </c>
      <c r="M59" s="190"/>
      <c r="N59" s="190"/>
      <c r="O59" s="190"/>
    </row>
    <row r="60" spans="1:15" ht="21.75" thickBot="1">
      <c r="A60" s="924" t="s">
        <v>17</v>
      </c>
      <c r="B60" s="925"/>
      <c r="C60" s="926" t="s">
        <v>102</v>
      </c>
      <c r="D60" s="927"/>
      <c r="E60" s="927"/>
      <c r="F60" s="927"/>
      <c r="G60" s="925"/>
      <c r="H60" s="833">
        <f>SUM(H61:H61)</f>
        <v>101270.9472</v>
      </c>
      <c r="I60" s="833">
        <f>SUM(I61:I61)</f>
        <v>114511.25099996556</v>
      </c>
      <c r="J60" s="834">
        <f>SUM(J61:J61)</f>
        <v>0</v>
      </c>
      <c r="K60" s="833">
        <f>SUM(K61:K61)</f>
        <v>114511.25099996556</v>
      </c>
      <c r="L60" s="830">
        <f t="shared" si="25"/>
        <v>4.1810963397897943E-2</v>
      </c>
      <c r="M60" s="190"/>
      <c r="N60" s="190"/>
      <c r="O60" s="190"/>
    </row>
    <row r="61" spans="1:15" s="193" customFormat="1" ht="42.75" thickBot="1">
      <c r="A61" s="740" t="s">
        <v>1061</v>
      </c>
      <c r="B61" s="728" t="s">
        <v>350</v>
      </c>
      <c r="C61" s="728" t="s">
        <v>103</v>
      </c>
      <c r="D61" s="729" t="s">
        <v>4</v>
      </c>
      <c r="E61" s="730">
        <f>903.65+18.93+7.88+6.02</f>
        <v>936.4799999999999</v>
      </c>
      <c r="F61" s="731">
        <f>CPUE!H81</f>
        <v>108.14</v>
      </c>
      <c r="G61" s="731">
        <f>CPUE!I81</f>
        <v>0</v>
      </c>
      <c r="H61" s="731">
        <f>E61*(F61+G61)</f>
        <v>101270.9472</v>
      </c>
      <c r="I61" s="731">
        <f>E61*F61*(1+$K$5)</f>
        <v>114511.25099996556</v>
      </c>
      <c r="J61" s="732">
        <f>E61*G61*(1+$G$436)*(1+$H$7)</f>
        <v>0</v>
      </c>
      <c r="K61" s="731">
        <f>I61+J61</f>
        <v>114511.25099996556</v>
      </c>
      <c r="L61" s="733">
        <f t="shared" si="25"/>
        <v>4.1810963397897943E-2</v>
      </c>
      <c r="M61" s="190"/>
      <c r="N61" s="190"/>
      <c r="O61" s="190"/>
    </row>
    <row r="62" spans="1:15" s="197" customFormat="1" ht="21.75" thickBot="1">
      <c r="A62" s="924" t="s">
        <v>351</v>
      </c>
      <c r="B62" s="925"/>
      <c r="C62" s="926" t="s">
        <v>12</v>
      </c>
      <c r="D62" s="927"/>
      <c r="E62" s="927"/>
      <c r="F62" s="927"/>
      <c r="G62" s="925"/>
      <c r="H62" s="833">
        <f>SUM(H63:H68)</f>
        <v>207926.66825799999</v>
      </c>
      <c r="I62" s="833">
        <f>SUM(I63:I68)</f>
        <v>220629.1216894447</v>
      </c>
      <c r="J62" s="834">
        <f>SUM(J63:J68)</f>
        <v>20251.854466737135</v>
      </c>
      <c r="K62" s="833">
        <f>SUM(K63:K68)</f>
        <v>240880.97615618183</v>
      </c>
      <c r="L62" s="830">
        <f t="shared" si="25"/>
        <v>8.7951756612274501E-2</v>
      </c>
      <c r="M62" s="190"/>
      <c r="N62" s="190"/>
      <c r="O62" s="190"/>
    </row>
    <row r="63" spans="1:15" s="193" customFormat="1" ht="42">
      <c r="A63" s="717" t="s">
        <v>1148</v>
      </c>
      <c r="B63" s="718" t="s">
        <v>352</v>
      </c>
      <c r="C63" s="718" t="s">
        <v>2532</v>
      </c>
      <c r="D63" s="719" t="s">
        <v>4</v>
      </c>
      <c r="E63" s="720">
        <f>67+112</f>
        <v>179</v>
      </c>
      <c r="F63" s="721">
        <f>'CPU SINAPI ND OBRA'!K170</f>
        <v>9.3439999999999994</v>
      </c>
      <c r="G63" s="721">
        <f>SUM('CPU SINAPI ND OBRA'!K171:K172)</f>
        <v>20.268719999999998</v>
      </c>
      <c r="H63" s="721">
        <f t="shared" ref="H63:H68" si="37">E63*(F63+G63)</f>
        <v>5300.6768799999991</v>
      </c>
      <c r="I63" s="721">
        <f>E63*F63*(1+$G$436)</f>
        <v>2007.3004271811246</v>
      </c>
      <c r="J63" s="722">
        <f t="shared" ref="J63:J68" si="38">E63*G63*(1+$G$436)*(1+$H$7)</f>
        <v>4854.0086985979269</v>
      </c>
      <c r="K63" s="721">
        <f t="shared" ref="K63:K68" si="39">I63+J63</f>
        <v>6861.3091257790511</v>
      </c>
      <c r="L63" s="723">
        <f t="shared" si="25"/>
        <v>2.5052380636353131E-3</v>
      </c>
      <c r="M63" s="192"/>
      <c r="N63" s="192"/>
      <c r="O63" s="192"/>
    </row>
    <row r="64" spans="1:15" s="193" customFormat="1">
      <c r="A64" s="876" t="s">
        <v>796</v>
      </c>
      <c r="B64" s="872" t="s">
        <v>353</v>
      </c>
      <c r="C64" s="872" t="s">
        <v>390</v>
      </c>
      <c r="D64" s="873" t="s">
        <v>4</v>
      </c>
      <c r="E64" s="874">
        <v>960.12</v>
      </c>
      <c r="F64" s="875">
        <f>SUM('CPU SINAPI ND OBRA'!K176:K177)</f>
        <v>16.694959999999998</v>
      </c>
      <c r="G64" s="875">
        <f>SUM('CPU SINAPI ND OBRA'!K178:K179)</f>
        <v>2.3931899999999997</v>
      </c>
      <c r="H64" s="875">
        <f t="shared" si="37"/>
        <v>18326.914578</v>
      </c>
      <c r="I64" s="875">
        <f>E64*F64*(1+$G$436)</f>
        <v>19237.003127045762</v>
      </c>
      <c r="J64" s="189">
        <f t="shared" si="38"/>
        <v>3074.1417703112365</v>
      </c>
      <c r="K64" s="875">
        <f t="shared" si="39"/>
        <v>22311.144897357</v>
      </c>
      <c r="L64" s="877">
        <f t="shared" si="25"/>
        <v>8.146365134626566E-3</v>
      </c>
      <c r="M64" s="192"/>
      <c r="N64" s="192"/>
      <c r="O64" s="192"/>
    </row>
    <row r="65" spans="1:15" s="193" customFormat="1" ht="42">
      <c r="A65" s="876" t="s">
        <v>1494</v>
      </c>
      <c r="B65" s="872" t="s">
        <v>354</v>
      </c>
      <c r="C65" s="872" t="s">
        <v>2130</v>
      </c>
      <c r="D65" s="873" t="s">
        <v>4</v>
      </c>
      <c r="E65" s="874">
        <f>75.41+30.41+6.46</f>
        <v>112.27999999999999</v>
      </c>
      <c r="F65" s="875">
        <f>SUM('CPU SINAPI ND OBRA'!K183:K185)</f>
        <v>152.47370000000001</v>
      </c>
      <c r="G65" s="875">
        <f>SUM('CPU SINAPI ND OBRA'!K186:K187)</f>
        <v>20.2912</v>
      </c>
      <c r="H65" s="875">
        <f t="shared" si="37"/>
        <v>19398.042971999999</v>
      </c>
      <c r="I65" s="875">
        <f>E65*F65*(1+$G$436)</f>
        <v>20545.837999944753</v>
      </c>
      <c r="J65" s="189">
        <f t="shared" si="38"/>
        <v>3048.1148835432336</v>
      </c>
      <c r="K65" s="875">
        <f t="shared" si="39"/>
        <v>23593.952883487986</v>
      </c>
      <c r="L65" s="877">
        <f t="shared" si="25"/>
        <v>8.614750880885421E-3</v>
      </c>
      <c r="M65" s="192"/>
      <c r="N65" s="192"/>
      <c r="O65" s="192"/>
    </row>
    <row r="66" spans="1:15" s="193" customFormat="1" ht="63">
      <c r="A66" s="876" t="s">
        <v>2122</v>
      </c>
      <c r="B66" s="872" t="s">
        <v>1106</v>
      </c>
      <c r="C66" s="872" t="s">
        <v>2533</v>
      </c>
      <c r="D66" s="873" t="s">
        <v>4</v>
      </c>
      <c r="E66" s="874">
        <f>884.71-30.41-6.46</f>
        <v>847.84</v>
      </c>
      <c r="F66" s="875">
        <f>SUM('CPU SINAPI ND OBRA'!K191:K192)</f>
        <v>182.6129</v>
      </c>
      <c r="G66" s="875">
        <f>SUM('CPU SINAPI ND OBRA'!K193:K194)</f>
        <v>7.7498000000000005</v>
      </c>
      <c r="H66" s="875">
        <f t="shared" si="37"/>
        <v>161397.11156799999</v>
      </c>
      <c r="I66" s="875">
        <f>E66*F66*(1+$K$5)</f>
        <v>175068.75479541253</v>
      </c>
      <c r="J66" s="189">
        <f t="shared" si="38"/>
        <v>8790.7431923040458</v>
      </c>
      <c r="K66" s="875">
        <f t="shared" si="39"/>
        <v>183859.49798771658</v>
      </c>
      <c r="L66" s="877">
        <f t="shared" si="25"/>
        <v>6.7131768045417831E-2</v>
      </c>
      <c r="M66" s="192"/>
      <c r="N66" s="192"/>
      <c r="O66" s="192"/>
    </row>
    <row r="67" spans="1:15" s="193" customFormat="1" ht="42">
      <c r="A67" s="876" t="s">
        <v>2279</v>
      </c>
      <c r="B67" s="872" t="s">
        <v>2280</v>
      </c>
      <c r="C67" s="872" t="s">
        <v>2306</v>
      </c>
      <c r="D67" s="873" t="s">
        <v>13</v>
      </c>
      <c r="E67" s="874">
        <v>28.74</v>
      </c>
      <c r="F67" s="875">
        <f>SUM('CPU SINAPI ND OBRA'!K1562:K1564)</f>
        <v>15.672189999999999</v>
      </c>
      <c r="G67" s="875">
        <f>SUM('CPU SINAPI ND OBRA'!K1560:K1561)</f>
        <v>3.7252400000000003</v>
      </c>
      <c r="H67" s="875">
        <f t="shared" si="37"/>
        <v>557.48213820000001</v>
      </c>
      <c r="I67" s="875">
        <f>E67*F67*(1+$G$436)</f>
        <v>540.55883285229731</v>
      </c>
      <c r="J67" s="875">
        <f t="shared" si="38"/>
        <v>143.23930906018481</v>
      </c>
      <c r="K67" s="875">
        <f t="shared" si="39"/>
        <v>683.79814191248215</v>
      </c>
      <c r="L67" s="877">
        <f t="shared" si="25"/>
        <v>2.4967205260085763E-4</v>
      </c>
      <c r="M67" s="192"/>
      <c r="N67" s="192"/>
      <c r="O67" s="192"/>
    </row>
    <row r="68" spans="1:15" s="193" customFormat="1" ht="42">
      <c r="A68" s="876" t="s">
        <v>2294</v>
      </c>
      <c r="B68" s="872" t="s">
        <v>2295</v>
      </c>
      <c r="C68" s="872" t="s">
        <v>2307</v>
      </c>
      <c r="D68" s="873" t="s">
        <v>13</v>
      </c>
      <c r="E68" s="874">
        <v>54.46</v>
      </c>
      <c r="F68" s="875">
        <f>SUM('CPU SINAPI ND OBRA'!K1571:K1572)</f>
        <v>49.414400000000001</v>
      </c>
      <c r="G68" s="875">
        <f>SUM('CPU SINAPI ND OBRA'!K1569:K1570)</f>
        <v>4.6884299999999994</v>
      </c>
      <c r="H68" s="875">
        <f t="shared" si="37"/>
        <v>2946.4401217999998</v>
      </c>
      <c r="I68" s="875">
        <f>E68*F68*(1+$G$436)</f>
        <v>3229.6665070082545</v>
      </c>
      <c r="J68" s="875">
        <f t="shared" si="38"/>
        <v>341.60661292050867</v>
      </c>
      <c r="K68" s="875">
        <f t="shared" si="39"/>
        <v>3571.2731199287632</v>
      </c>
      <c r="L68" s="877">
        <f t="shared" si="25"/>
        <v>1.3039624351085224E-3</v>
      </c>
      <c r="M68" s="192"/>
      <c r="N68" s="192"/>
      <c r="O68" s="192"/>
    </row>
    <row r="69" spans="1:15" s="197" customFormat="1" ht="21.75" thickBot="1">
      <c r="A69" s="935" t="s">
        <v>355</v>
      </c>
      <c r="B69" s="936"/>
      <c r="C69" s="937" t="s">
        <v>104</v>
      </c>
      <c r="D69" s="938"/>
      <c r="E69" s="938"/>
      <c r="F69" s="938"/>
      <c r="G69" s="936"/>
      <c r="H69" s="869">
        <f>SUM(H70:H71)</f>
        <v>12766.338847839999</v>
      </c>
      <c r="I69" s="869">
        <f>SUM(I70:I71)</f>
        <v>7912.5466173686646</v>
      </c>
      <c r="J69" s="870">
        <f>SUM(J70:J71)</f>
        <v>8259.1274336324132</v>
      </c>
      <c r="K69" s="869">
        <f>SUM(K70:K71)</f>
        <v>16171.674051001079</v>
      </c>
      <c r="L69" s="871">
        <f t="shared" si="25"/>
        <v>5.9046885430440845E-3</v>
      </c>
      <c r="M69" s="190"/>
      <c r="N69" s="190"/>
      <c r="O69" s="190"/>
    </row>
    <row r="70" spans="1:15" s="193" customFormat="1">
      <c r="A70" s="717" t="s">
        <v>797</v>
      </c>
      <c r="B70" s="718" t="s">
        <v>356</v>
      </c>
      <c r="C70" s="718" t="s">
        <v>392</v>
      </c>
      <c r="D70" s="719" t="s">
        <v>4</v>
      </c>
      <c r="E70" s="720">
        <v>119.72</v>
      </c>
      <c r="F70" s="721">
        <f>'CPU SINAPI ND OBRA'!K198</f>
        <v>11.847911999999999</v>
      </c>
      <c r="G70" s="721">
        <f>SUM('CPU SINAPI ND OBRA'!K199:K200)</f>
        <v>8.4162599999999994</v>
      </c>
      <c r="H70" s="721">
        <f>E70*(F70+G70)</f>
        <v>2426.0266718399998</v>
      </c>
      <c r="I70" s="721">
        <f>E70*F70*(1+$G$436)</f>
        <v>1702.2958651727988</v>
      </c>
      <c r="J70" s="722">
        <f>E70*G70*(1+$G$436)*(1+$H$7)</f>
        <v>1348.0532498780767</v>
      </c>
      <c r="K70" s="721">
        <f>I70+J70</f>
        <v>3050.3491150508753</v>
      </c>
      <c r="L70" s="723">
        <f t="shared" si="25"/>
        <v>1.1137598627775089E-3</v>
      </c>
      <c r="M70" s="192"/>
      <c r="N70" s="192"/>
      <c r="O70" s="192"/>
    </row>
    <row r="71" spans="1:15" s="193" customFormat="1" ht="21.75" thickBot="1">
      <c r="A71" s="724" t="s">
        <v>798</v>
      </c>
      <c r="B71" s="711" t="s">
        <v>357</v>
      </c>
      <c r="C71" s="711" t="s">
        <v>2131</v>
      </c>
      <c r="D71" s="725" t="s">
        <v>4</v>
      </c>
      <c r="E71" s="726">
        <v>119.72</v>
      </c>
      <c r="F71" s="714">
        <f>SUM('CPU SINAPI ND OBRA'!K204:K206)</f>
        <v>43.223100000000009</v>
      </c>
      <c r="G71" s="714">
        <f>SUM('CPU SINAPI ND OBRA'!K207:K208)</f>
        <v>43.1477</v>
      </c>
      <c r="H71" s="714">
        <f>E71*(F71+G71)</f>
        <v>10340.312175999999</v>
      </c>
      <c r="I71" s="714">
        <f>E71*F71*(1+$G$436)</f>
        <v>6210.250752195866</v>
      </c>
      <c r="J71" s="715">
        <f>E71*G71*(1+$G$436)*(1+$H$7)</f>
        <v>6911.0741837543374</v>
      </c>
      <c r="K71" s="714">
        <f>I71+J71</f>
        <v>13121.324935950204</v>
      </c>
      <c r="L71" s="716">
        <f t="shared" si="25"/>
        <v>4.7909286802665756E-3</v>
      </c>
      <c r="M71" s="192"/>
      <c r="N71" s="192"/>
      <c r="O71" s="192"/>
    </row>
    <row r="72" spans="1:15" ht="21.75" thickBot="1">
      <c r="A72" s="924" t="s">
        <v>358</v>
      </c>
      <c r="B72" s="925"/>
      <c r="C72" s="926" t="s">
        <v>106</v>
      </c>
      <c r="D72" s="927"/>
      <c r="E72" s="927"/>
      <c r="F72" s="927"/>
      <c r="G72" s="925"/>
      <c r="H72" s="833">
        <f>SUM(H73:H77)</f>
        <v>36492.89245549</v>
      </c>
      <c r="I72" s="833">
        <f>SUM(I73:I77)</f>
        <v>10061.948310395717</v>
      </c>
      <c r="J72" s="834">
        <f>SUM(J73:J77)</f>
        <v>37606.563442375853</v>
      </c>
      <c r="K72" s="833">
        <f>SUM(K73:K77)</f>
        <v>47668.511752771563</v>
      </c>
      <c r="L72" s="830">
        <f t="shared" ref="L72:L73" si="40">K72/$K$436</f>
        <v>1.7404983202288123E-2</v>
      </c>
      <c r="M72" s="190"/>
      <c r="N72" s="190"/>
      <c r="O72" s="190"/>
    </row>
    <row r="73" spans="1:15" s="193" customFormat="1" ht="42">
      <c r="A73" s="717" t="s">
        <v>1063</v>
      </c>
      <c r="B73" s="718" t="s">
        <v>359</v>
      </c>
      <c r="C73" s="718" t="s">
        <v>2489</v>
      </c>
      <c r="D73" s="719" t="s">
        <v>4</v>
      </c>
      <c r="E73" s="720">
        <f>324.05-102.5+236.48</f>
        <v>458.03</v>
      </c>
      <c r="F73" s="721">
        <f>CPUE!H86</f>
        <v>1.42</v>
      </c>
      <c r="G73" s="721">
        <f>CPUE!I86</f>
        <v>8.8369459999999993</v>
      </c>
      <c r="H73" s="721">
        <f t="shared" ref="H73:H76" si="41">E73*(F73+G73)</f>
        <v>4697.9889763799993</v>
      </c>
      <c r="I73" s="721">
        <f>E73*F73*(1+$G$436)</f>
        <v>780.56448066916778</v>
      </c>
      <c r="J73" s="722">
        <f>E73*G73*(1+$G$436)*(1+$H$7)</f>
        <v>5415.2351682335193</v>
      </c>
      <c r="K73" s="721">
        <f t="shared" ref="K73:K76" si="42">I73+J73</f>
        <v>6195.7996489026873</v>
      </c>
      <c r="L73" s="723">
        <f t="shared" si="40"/>
        <v>2.262243666703607E-3</v>
      </c>
      <c r="M73" s="190"/>
      <c r="N73" s="190"/>
      <c r="O73" s="190"/>
    </row>
    <row r="74" spans="1:15" s="193" customFormat="1">
      <c r="A74" s="710" t="s">
        <v>721</v>
      </c>
      <c r="B74" s="194" t="s">
        <v>360</v>
      </c>
      <c r="C74" s="194" t="s">
        <v>107</v>
      </c>
      <c r="D74" s="222" t="s">
        <v>4</v>
      </c>
      <c r="E74" s="195">
        <f>324.05</f>
        <v>324.05</v>
      </c>
      <c r="F74" s="196">
        <f>'CPU SINAPI ND OBRA'!K212</f>
        <v>1.7775999999999998</v>
      </c>
      <c r="G74" s="196">
        <f>SUM('CPU SINAPI ND OBRA'!K213:K214)</f>
        <v>1.8996499999999998</v>
      </c>
      <c r="H74" s="196">
        <f t="shared" si="41"/>
        <v>1191.6128625000001</v>
      </c>
      <c r="I74" s="196">
        <f>E74*F74*(1+$G$436)</f>
        <v>691.30959335401792</v>
      </c>
      <c r="J74" s="189">
        <f>E74*G74*(1+$G$436)*(1+$H$7)</f>
        <v>823.58193859032872</v>
      </c>
      <c r="K74" s="196">
        <f t="shared" si="42"/>
        <v>1514.8915319443468</v>
      </c>
      <c r="L74" s="709">
        <f t="shared" ref="L74:L137" si="43">K74/$K$436</f>
        <v>5.5312533782317754E-4</v>
      </c>
      <c r="M74" s="192"/>
      <c r="N74" s="192"/>
      <c r="O74" s="192"/>
    </row>
    <row r="75" spans="1:15" s="193" customFormat="1">
      <c r="A75" s="710" t="s">
        <v>722</v>
      </c>
      <c r="B75" s="194" t="s">
        <v>361</v>
      </c>
      <c r="C75" s="194" t="s">
        <v>108</v>
      </c>
      <c r="D75" s="222" t="s">
        <v>4</v>
      </c>
      <c r="E75" s="195">
        <v>324.05</v>
      </c>
      <c r="F75" s="196">
        <f>SUM('CPU SINAPI ND OBRA'!K218:K219)</f>
        <v>7.5804576000000008</v>
      </c>
      <c r="G75" s="196">
        <f>SUM('CPU SINAPI ND OBRA'!K220:K221)</f>
        <v>30.097399999999997</v>
      </c>
      <c r="H75" s="196">
        <f t="shared" si="41"/>
        <v>12209.50975528</v>
      </c>
      <c r="I75" s="196">
        <f>E75*F75*(1+$G$436)</f>
        <v>2948.0440261551398</v>
      </c>
      <c r="J75" s="189">
        <f>E75*G75*(1+$G$436)*(1+$H$7)</f>
        <v>13048.548437095547</v>
      </c>
      <c r="K75" s="196">
        <f t="shared" si="42"/>
        <v>15996.592463250687</v>
      </c>
      <c r="L75" s="709">
        <f t="shared" si="43"/>
        <v>5.8407618127607891E-3</v>
      </c>
      <c r="M75" s="192"/>
      <c r="N75" s="192"/>
      <c r="O75" s="192"/>
    </row>
    <row r="76" spans="1:15" s="193" customFormat="1">
      <c r="A76" s="710" t="s">
        <v>707</v>
      </c>
      <c r="B76" s="194" t="s">
        <v>362</v>
      </c>
      <c r="C76" s="194" t="s">
        <v>2495</v>
      </c>
      <c r="D76" s="222" t="s">
        <v>4</v>
      </c>
      <c r="E76" s="195">
        <f>324.05</f>
        <v>324.05</v>
      </c>
      <c r="F76" s="196">
        <f>'CPU SINAPI ND OBRA'!K225</f>
        <v>5.5640000000000001</v>
      </c>
      <c r="G76" s="196">
        <f>SUM('CPU SINAPI ND OBRA'!K226:K227)</f>
        <v>24.101679999999995</v>
      </c>
      <c r="H76" s="196">
        <f t="shared" si="41"/>
        <v>9613.1636039999994</v>
      </c>
      <c r="I76" s="196">
        <f>E76*F76*(1+$G$436)</f>
        <v>2163.842584058144</v>
      </c>
      <c r="J76" s="189">
        <f>E76*G76*(1+$G$436)*(1+$H$7)</f>
        <v>10449.139756104414</v>
      </c>
      <c r="K76" s="196">
        <f t="shared" si="42"/>
        <v>12612.982340162558</v>
      </c>
      <c r="L76" s="709">
        <f t="shared" si="43"/>
        <v>4.6053198996405028E-3</v>
      </c>
      <c r="M76" s="192"/>
      <c r="N76" s="192"/>
      <c r="O76" s="192"/>
    </row>
    <row r="77" spans="1:15" s="191" customFormat="1" ht="42.75" thickBot="1">
      <c r="A77" s="724" t="s">
        <v>1145</v>
      </c>
      <c r="B77" s="711" t="s">
        <v>1146</v>
      </c>
      <c r="C77" s="711" t="s">
        <v>2494</v>
      </c>
      <c r="D77" s="725" t="s">
        <v>4</v>
      </c>
      <c r="E77" s="726">
        <f>67.43+236.48</f>
        <v>303.90999999999997</v>
      </c>
      <c r="F77" s="714">
        <f>SUM('CPU SINAPI ND OBRA'!K1543:K1544)</f>
        <v>9.5363349999999993</v>
      </c>
      <c r="G77" s="714">
        <f>SUM('CPU SINAPI ND OBRA'!K1542)</f>
        <v>19.355827999999999</v>
      </c>
      <c r="H77" s="714">
        <f t="shared" ref="H77" si="44">E77*(F77+G77)</f>
        <v>8780.6172573299973</v>
      </c>
      <c r="I77" s="714">
        <f>E77*F77*(1+$G$436)</f>
        <v>3478.1876261592474</v>
      </c>
      <c r="J77" s="715">
        <f>E77*G77*(1+$G$436)*(1+$H$7)</f>
        <v>7870.0581423520407</v>
      </c>
      <c r="K77" s="714">
        <f t="shared" ref="K77" si="45">I77+J77</f>
        <v>11348.245768511288</v>
      </c>
      <c r="L77" s="716">
        <f t="shared" si="43"/>
        <v>4.1435324853600491E-3</v>
      </c>
      <c r="M77" s="190"/>
      <c r="N77" s="190"/>
      <c r="O77" s="190"/>
    </row>
    <row r="78" spans="1:15" ht="21.75" thickBot="1">
      <c r="A78" s="924" t="s">
        <v>363</v>
      </c>
      <c r="B78" s="925"/>
      <c r="C78" s="926" t="s">
        <v>110</v>
      </c>
      <c r="D78" s="927"/>
      <c r="E78" s="927"/>
      <c r="F78" s="927"/>
      <c r="G78" s="925"/>
      <c r="H78" s="833">
        <f>SUM(H79:H84)</f>
        <v>28342.640207065997</v>
      </c>
      <c r="I78" s="833">
        <f>SUM(I79:I84)</f>
        <v>27365.142956238189</v>
      </c>
      <c r="J78" s="833">
        <f>SUM(J79:J84)</f>
        <v>7412.9025531071857</v>
      </c>
      <c r="K78" s="833">
        <f>SUM(K79:K84)</f>
        <v>34778.045509345378</v>
      </c>
      <c r="L78" s="830">
        <f t="shared" si="43"/>
        <v>1.2698346888569979E-2</v>
      </c>
      <c r="M78" s="190"/>
      <c r="N78" s="190"/>
      <c r="O78" s="190"/>
    </row>
    <row r="79" spans="1:15" s="193" customFormat="1" ht="63">
      <c r="A79" s="717" t="s">
        <v>724</v>
      </c>
      <c r="B79" s="718" t="s">
        <v>365</v>
      </c>
      <c r="C79" s="718" t="s">
        <v>826</v>
      </c>
      <c r="D79" s="741" t="s">
        <v>737</v>
      </c>
      <c r="E79" s="720">
        <v>3</v>
      </c>
      <c r="F79" s="721">
        <f>SUM('CPU SINAPI ND OBRA'!K237:K240)</f>
        <v>953.678</v>
      </c>
      <c r="G79" s="721">
        <v>0</v>
      </c>
      <c r="H79" s="721">
        <f t="shared" ref="H79:H84" si="46">E79*(F79+G79)</f>
        <v>2861.0340000000001</v>
      </c>
      <c r="I79" s="721">
        <f t="shared" ref="I79:I84" si="47">E79*F79*(1+$G$436)</f>
        <v>3433.5986946959197</v>
      </c>
      <c r="J79" s="722">
        <f t="shared" ref="J79:J84" si="48">E79*G79*(1+$G$436)*(1+$H$7)</f>
        <v>0</v>
      </c>
      <c r="K79" s="721">
        <f t="shared" ref="K79:K84" si="49">I79+J79</f>
        <v>3433.5986946959197</v>
      </c>
      <c r="L79" s="723">
        <f t="shared" si="43"/>
        <v>1.2536940090458397E-3</v>
      </c>
      <c r="M79" s="192"/>
      <c r="N79" s="192"/>
      <c r="O79" s="192"/>
    </row>
    <row r="80" spans="1:15" s="193" customFormat="1" ht="63">
      <c r="A80" s="710" t="s">
        <v>725</v>
      </c>
      <c r="B80" s="194" t="s">
        <v>366</v>
      </c>
      <c r="C80" s="194" t="s">
        <v>827</v>
      </c>
      <c r="D80" s="221" t="s">
        <v>737</v>
      </c>
      <c r="E80" s="195">
        <v>9</v>
      </c>
      <c r="F80" s="196">
        <f>SUM('CPU SINAPI ND OBRA'!K244:K247)</f>
        <v>999.45</v>
      </c>
      <c r="G80" s="196">
        <v>0</v>
      </c>
      <c r="H80" s="196">
        <f t="shared" si="46"/>
        <v>8995.0500000000011</v>
      </c>
      <c r="I80" s="196">
        <f t="shared" si="47"/>
        <v>10795.185215808178</v>
      </c>
      <c r="J80" s="189">
        <f t="shared" si="48"/>
        <v>0</v>
      </c>
      <c r="K80" s="196">
        <f t="shared" si="49"/>
        <v>10795.185215808178</v>
      </c>
      <c r="L80" s="709">
        <f t="shared" si="43"/>
        <v>3.9415960439714388E-3</v>
      </c>
      <c r="M80" s="192"/>
      <c r="N80" s="192"/>
      <c r="O80" s="192"/>
    </row>
    <row r="81" spans="1:15" s="193" customFormat="1" ht="63">
      <c r="A81" s="710" t="s">
        <v>723</v>
      </c>
      <c r="B81" s="194" t="s">
        <v>367</v>
      </c>
      <c r="C81" s="194" t="s">
        <v>828</v>
      </c>
      <c r="D81" s="221" t="s">
        <v>737</v>
      </c>
      <c r="E81" s="195">
        <v>1</v>
      </c>
      <c r="F81" s="196">
        <f>SUM('CPU SINAPI ND OBRA'!K251:K254)</f>
        <v>1081.1220000000001</v>
      </c>
      <c r="G81" s="196">
        <v>0</v>
      </c>
      <c r="H81" s="196">
        <f t="shared" si="46"/>
        <v>1081.1220000000001</v>
      </c>
      <c r="I81" s="196">
        <f t="shared" si="47"/>
        <v>1297.4816405561912</v>
      </c>
      <c r="J81" s="189">
        <f t="shared" si="48"/>
        <v>0</v>
      </c>
      <c r="K81" s="196">
        <f t="shared" si="49"/>
        <v>1297.4816405561912</v>
      </c>
      <c r="L81" s="709">
        <f t="shared" si="43"/>
        <v>4.7374346982512487E-4</v>
      </c>
      <c r="M81" s="192"/>
      <c r="N81" s="192"/>
      <c r="O81" s="192"/>
    </row>
    <row r="82" spans="1:15" s="191" customFormat="1" ht="63">
      <c r="A82" s="742" t="s">
        <v>1327</v>
      </c>
      <c r="B82" s="194" t="s">
        <v>368</v>
      </c>
      <c r="C82" s="194" t="s">
        <v>1107</v>
      </c>
      <c r="D82" s="222" t="s">
        <v>4</v>
      </c>
      <c r="E82" s="195">
        <v>11.7</v>
      </c>
      <c r="F82" s="196">
        <f>CPUE!H97</f>
        <v>714.97440000000006</v>
      </c>
      <c r="G82" s="196">
        <f>CPUE!I97</f>
        <v>459.56129999999996</v>
      </c>
      <c r="H82" s="196">
        <f t="shared" si="46"/>
        <v>13742.067689999998</v>
      </c>
      <c r="I82" s="196">
        <f t="shared" si="47"/>
        <v>10039.287002180918</v>
      </c>
      <c r="J82" s="189">
        <f t="shared" si="48"/>
        <v>7193.6699314011266</v>
      </c>
      <c r="K82" s="196">
        <f t="shared" si="49"/>
        <v>17232.956933582045</v>
      </c>
      <c r="L82" s="709">
        <f t="shared" si="43"/>
        <v>6.292189852923423E-3</v>
      </c>
      <c r="M82" s="190"/>
      <c r="N82" s="190"/>
      <c r="O82" s="190"/>
    </row>
    <row r="83" spans="1:15" s="193" customFormat="1">
      <c r="A83" s="737" t="s">
        <v>1689</v>
      </c>
      <c r="B83" s="200" t="s">
        <v>403</v>
      </c>
      <c r="C83" s="200" t="s">
        <v>1285</v>
      </c>
      <c r="D83" s="221" t="s">
        <v>737</v>
      </c>
      <c r="E83" s="743">
        <v>1</v>
      </c>
      <c r="F83" s="196">
        <f>SUM('CPU SINAPI ND OBRA'!K258:K262)</f>
        <v>843.52235506600005</v>
      </c>
      <c r="G83" s="196">
        <f>SUM('CPU SINAPI ND OBRA'!K263:K264)</f>
        <v>117.35216199999999</v>
      </c>
      <c r="H83" s="196">
        <f t="shared" si="46"/>
        <v>960.87451706600007</v>
      </c>
      <c r="I83" s="196">
        <f t="shared" si="47"/>
        <v>1012.3323446353471</v>
      </c>
      <c r="J83" s="189">
        <f t="shared" si="48"/>
        <v>157.00456905356862</v>
      </c>
      <c r="K83" s="196">
        <f t="shared" si="49"/>
        <v>1169.3369136889157</v>
      </c>
      <c r="L83" s="709">
        <f t="shared" si="43"/>
        <v>4.269545784463826E-4</v>
      </c>
      <c r="M83" s="192"/>
      <c r="N83" s="192"/>
      <c r="O83" s="192"/>
    </row>
    <row r="84" spans="1:15" s="191" customFormat="1" ht="21.75" thickBot="1">
      <c r="A84" s="744" t="s">
        <v>1478</v>
      </c>
      <c r="B84" s="711" t="s">
        <v>1523</v>
      </c>
      <c r="C84" s="711" t="s">
        <v>1522</v>
      </c>
      <c r="D84" s="712" t="s">
        <v>737</v>
      </c>
      <c r="E84" s="726">
        <v>2</v>
      </c>
      <c r="F84" s="714">
        <f>CPUE!H848</f>
        <v>327.99</v>
      </c>
      <c r="G84" s="714">
        <f>CPUE!I848</f>
        <v>23.256</v>
      </c>
      <c r="H84" s="714">
        <f t="shared" si="46"/>
        <v>702.49199999999996</v>
      </c>
      <c r="I84" s="714">
        <f t="shared" si="47"/>
        <v>787.25805836163761</v>
      </c>
      <c r="J84" s="715">
        <f t="shared" si="48"/>
        <v>62.228052652490412</v>
      </c>
      <c r="K84" s="714">
        <f t="shared" si="49"/>
        <v>849.48611101412803</v>
      </c>
      <c r="L84" s="716">
        <f t="shared" si="43"/>
        <v>3.1016893435776942E-4</v>
      </c>
      <c r="M84" s="190"/>
      <c r="N84" s="190"/>
      <c r="O84" s="190"/>
    </row>
    <row r="85" spans="1:15" ht="21.75" thickBot="1">
      <c r="A85" s="924" t="s">
        <v>369</v>
      </c>
      <c r="B85" s="925"/>
      <c r="C85" s="926" t="s">
        <v>5</v>
      </c>
      <c r="D85" s="927"/>
      <c r="E85" s="927"/>
      <c r="F85" s="927"/>
      <c r="G85" s="925"/>
      <c r="H85" s="833">
        <f>SUM(H86:H113)</f>
        <v>28015.389181999995</v>
      </c>
      <c r="I85" s="833">
        <f>SUM(I86:I113)</f>
        <v>31282.66995101023</v>
      </c>
      <c r="J85" s="834">
        <f>SUM(J86:J113)</f>
        <v>2607.8397205228212</v>
      </c>
      <c r="K85" s="833">
        <f>SUM(K86:K113)</f>
        <v>33890.509671533058</v>
      </c>
      <c r="L85" s="830">
        <f t="shared" si="43"/>
        <v>1.2374285033468031E-2</v>
      </c>
      <c r="M85" s="190"/>
      <c r="N85" s="190"/>
      <c r="O85" s="190"/>
    </row>
    <row r="86" spans="1:15" s="193" customFormat="1">
      <c r="A86" s="734" t="s">
        <v>1260</v>
      </c>
      <c r="B86" s="745" t="s">
        <v>370</v>
      </c>
      <c r="C86" s="746" t="s">
        <v>2132</v>
      </c>
      <c r="D86" s="741" t="s">
        <v>737</v>
      </c>
      <c r="E86" s="720">
        <v>8</v>
      </c>
      <c r="F86" s="747">
        <f>CPUE!H822</f>
        <v>249.99</v>
      </c>
      <c r="G86" s="747">
        <f>CPUE!I828</f>
        <v>7.8419999999999996</v>
      </c>
      <c r="H86" s="721">
        <f t="shared" ref="H86:H112" si="50">E86*(F86+G86)</f>
        <v>2062.6559999999999</v>
      </c>
      <c r="I86" s="721">
        <f t="shared" ref="I86:I113" si="51">E86*F86*(1+$G$436)</f>
        <v>2400.1541755520079</v>
      </c>
      <c r="J86" s="722">
        <f t="shared" ref="J86:J113" si="52">E86*G86*(1+$G$436)*(1+$H$7)</f>
        <v>83.934019418787372</v>
      </c>
      <c r="K86" s="721">
        <f t="shared" ref="K86:K112" si="53">I86+J86</f>
        <v>2484.0881949707955</v>
      </c>
      <c r="L86" s="723">
        <f t="shared" si="43"/>
        <v>9.070036323077593E-4</v>
      </c>
      <c r="M86" s="190"/>
      <c r="N86" s="190"/>
      <c r="O86" s="190"/>
    </row>
    <row r="87" spans="1:15" s="193" customFormat="1">
      <c r="A87" s="737" t="s">
        <v>829</v>
      </c>
      <c r="B87" s="201" t="s">
        <v>371</v>
      </c>
      <c r="C87" s="224" t="s">
        <v>2133</v>
      </c>
      <c r="D87" s="221" t="s">
        <v>737</v>
      </c>
      <c r="E87" s="195">
        <v>8</v>
      </c>
      <c r="F87" s="202">
        <f>SUM('CPU SINAPI ND OBRA'!K268:K269)</f>
        <v>610.79</v>
      </c>
      <c r="G87" s="196">
        <v>0</v>
      </c>
      <c r="H87" s="196">
        <f t="shared" si="50"/>
        <v>4886.32</v>
      </c>
      <c r="I87" s="196">
        <f t="shared" si="51"/>
        <v>5864.195243351377</v>
      </c>
      <c r="J87" s="189">
        <f t="shared" si="52"/>
        <v>0</v>
      </c>
      <c r="K87" s="196">
        <f t="shared" si="53"/>
        <v>5864.195243351377</v>
      </c>
      <c r="L87" s="709">
        <f t="shared" si="43"/>
        <v>2.141166483963793E-3</v>
      </c>
      <c r="M87" s="192"/>
      <c r="N87" s="192"/>
      <c r="O87" s="192"/>
    </row>
    <row r="88" spans="1:15" s="193" customFormat="1">
      <c r="A88" s="737" t="s">
        <v>726</v>
      </c>
      <c r="B88" s="199" t="s">
        <v>372</v>
      </c>
      <c r="C88" s="198" t="s">
        <v>2134</v>
      </c>
      <c r="D88" s="221" t="s">
        <v>737</v>
      </c>
      <c r="E88" s="195">
        <v>1</v>
      </c>
      <c r="F88" s="202">
        <f>SUM('CPU SINAPI ND OBRA'!K273:K274)</f>
        <v>893.52</v>
      </c>
      <c r="G88" s="196">
        <v>0</v>
      </c>
      <c r="H88" s="196">
        <f t="shared" si="50"/>
        <v>893.52</v>
      </c>
      <c r="I88" s="196">
        <f t="shared" si="51"/>
        <v>1072.3357729005311</v>
      </c>
      <c r="J88" s="189">
        <f t="shared" si="52"/>
        <v>0</v>
      </c>
      <c r="K88" s="196">
        <f t="shared" si="53"/>
        <v>1072.3357729005311</v>
      </c>
      <c r="L88" s="709">
        <f t="shared" si="43"/>
        <v>3.915370005958121E-4</v>
      </c>
      <c r="M88" s="192"/>
      <c r="N88" s="192"/>
      <c r="O88" s="192"/>
    </row>
    <row r="89" spans="1:15" s="193" customFormat="1">
      <c r="A89" s="737" t="s">
        <v>1263</v>
      </c>
      <c r="B89" s="201" t="s">
        <v>373</v>
      </c>
      <c r="C89" s="224" t="s">
        <v>2135</v>
      </c>
      <c r="D89" s="221" t="s">
        <v>737</v>
      </c>
      <c r="E89" s="195">
        <v>1</v>
      </c>
      <c r="F89" s="202">
        <f>CPUE!H828</f>
        <v>850</v>
      </c>
      <c r="G89" s="748">
        <f>CPUE!I828</f>
        <v>7.8419999999999996</v>
      </c>
      <c r="H89" s="196">
        <f t="shared" si="50"/>
        <v>857.84199999999998</v>
      </c>
      <c r="I89" s="196">
        <f t="shared" si="51"/>
        <v>1020.1063288627579</v>
      </c>
      <c r="J89" s="189">
        <f t="shared" si="52"/>
        <v>10.491752427348422</v>
      </c>
      <c r="K89" s="196">
        <f t="shared" si="53"/>
        <v>1030.5980812901064</v>
      </c>
      <c r="L89" s="709">
        <f t="shared" si="43"/>
        <v>3.7629751031867994E-4</v>
      </c>
      <c r="M89" s="190"/>
      <c r="N89" s="190"/>
      <c r="O89" s="190"/>
    </row>
    <row r="90" spans="1:15" s="193" customFormat="1">
      <c r="A90" s="737" t="s">
        <v>708</v>
      </c>
      <c r="B90" s="201" t="s">
        <v>374</v>
      </c>
      <c r="C90" s="201" t="s">
        <v>2136</v>
      </c>
      <c r="D90" s="221" t="s">
        <v>737</v>
      </c>
      <c r="E90" s="195">
        <v>2</v>
      </c>
      <c r="F90" s="202">
        <f>SUM('CPU SINAPI ND OBRA'!K278:K279)</f>
        <v>75.107200000000006</v>
      </c>
      <c r="G90" s="748">
        <f>SUM('CPU SINAPI ND OBRA'!K280:K281)</f>
        <v>17.938914</v>
      </c>
      <c r="H90" s="196">
        <f t="shared" si="50"/>
        <v>186.09222800000001</v>
      </c>
      <c r="I90" s="196">
        <f t="shared" si="51"/>
        <v>180.27607073684925</v>
      </c>
      <c r="J90" s="189">
        <f t="shared" si="52"/>
        <v>48.000674446185812</v>
      </c>
      <c r="K90" s="196">
        <f t="shared" si="53"/>
        <v>228.27674518303508</v>
      </c>
      <c r="L90" s="709">
        <f t="shared" si="43"/>
        <v>8.3349632058792421E-5</v>
      </c>
      <c r="M90" s="192"/>
      <c r="N90" s="192"/>
      <c r="O90" s="192"/>
    </row>
    <row r="91" spans="1:15" s="193" customFormat="1">
      <c r="A91" s="737" t="s">
        <v>727</v>
      </c>
      <c r="B91" s="201" t="s">
        <v>375</v>
      </c>
      <c r="C91" s="201" t="s">
        <v>2137</v>
      </c>
      <c r="D91" s="221" t="s">
        <v>737</v>
      </c>
      <c r="E91" s="195">
        <v>2</v>
      </c>
      <c r="F91" s="202">
        <f>SUM('CPU SINAPI ND OBRA'!K285:K287)</f>
        <v>41.69</v>
      </c>
      <c r="G91" s="196">
        <v>0</v>
      </c>
      <c r="H91" s="196">
        <f t="shared" si="50"/>
        <v>83.38</v>
      </c>
      <c r="I91" s="196">
        <f t="shared" si="51"/>
        <v>100.06643023597265</v>
      </c>
      <c r="J91" s="189">
        <f t="shared" si="52"/>
        <v>0</v>
      </c>
      <c r="K91" s="196">
        <f t="shared" si="53"/>
        <v>100.06643023597265</v>
      </c>
      <c r="L91" s="709">
        <f t="shared" si="43"/>
        <v>3.6536792807859717E-5</v>
      </c>
      <c r="M91" s="192"/>
      <c r="N91" s="192"/>
      <c r="O91" s="192"/>
    </row>
    <row r="92" spans="1:15" s="193" customFormat="1">
      <c r="A92" s="737" t="s">
        <v>728</v>
      </c>
      <c r="B92" s="201" t="s">
        <v>376</v>
      </c>
      <c r="C92" s="201" t="s">
        <v>2138</v>
      </c>
      <c r="D92" s="221" t="s">
        <v>737</v>
      </c>
      <c r="E92" s="195">
        <v>2</v>
      </c>
      <c r="F92" s="202">
        <f>SUM('CPU SINAPI ND OBRA'!K291)</f>
        <v>30.17</v>
      </c>
      <c r="G92" s="202">
        <f>SUM('CPU SINAPI ND OBRA'!K292:K293)</f>
        <v>3.856827</v>
      </c>
      <c r="H92" s="196">
        <f>E92*(F92+G92)</f>
        <v>68.053654000000009</v>
      </c>
      <c r="I92" s="196">
        <f t="shared" si="51"/>
        <v>72.415548098328017</v>
      </c>
      <c r="J92" s="189">
        <f t="shared" si="52"/>
        <v>10.320039285670219</v>
      </c>
      <c r="K92" s="196">
        <f>I92+J92</f>
        <v>82.735587383998237</v>
      </c>
      <c r="L92" s="709">
        <f t="shared" si="43"/>
        <v>3.0208862322331782E-5</v>
      </c>
      <c r="M92" s="192"/>
      <c r="N92" s="192"/>
      <c r="O92" s="192"/>
    </row>
    <row r="93" spans="1:15" s="193" customFormat="1">
      <c r="A93" s="737" t="s">
        <v>709</v>
      </c>
      <c r="B93" s="201" t="s">
        <v>377</v>
      </c>
      <c r="C93" s="224" t="s">
        <v>2139</v>
      </c>
      <c r="D93" s="221" t="s">
        <v>737</v>
      </c>
      <c r="E93" s="195">
        <v>6</v>
      </c>
      <c r="F93" s="202">
        <f>SUM('CPU SINAPI ND OBRA'!K297:K298)</f>
        <v>136.546952</v>
      </c>
      <c r="G93" s="202">
        <f>SUM('CPU SINAPI ND OBRA'!K299:K300)</f>
        <v>29.562021000000001</v>
      </c>
      <c r="H93" s="196">
        <f t="shared" si="50"/>
        <v>996.65383799999995</v>
      </c>
      <c r="I93" s="196">
        <f t="shared" si="51"/>
        <v>983.24054062672383</v>
      </c>
      <c r="J93" s="189">
        <f t="shared" si="52"/>
        <v>237.30482447136575</v>
      </c>
      <c r="K93" s="196">
        <f t="shared" si="53"/>
        <v>1220.5453650980896</v>
      </c>
      <c r="L93" s="709">
        <f t="shared" si="43"/>
        <v>4.4565208344117692E-4</v>
      </c>
      <c r="M93" s="192"/>
      <c r="N93" s="192"/>
      <c r="O93" s="192"/>
    </row>
    <row r="94" spans="1:15" s="193" customFormat="1">
      <c r="A94" s="737" t="s">
        <v>1328</v>
      </c>
      <c r="B94" s="201" t="s">
        <v>378</v>
      </c>
      <c r="C94" s="198" t="s">
        <v>2140</v>
      </c>
      <c r="D94" s="221" t="s">
        <v>737</v>
      </c>
      <c r="E94" s="195">
        <v>1</v>
      </c>
      <c r="F94" s="202">
        <f>CPUE!H103</f>
        <v>643.9</v>
      </c>
      <c r="G94" s="202">
        <f>CPUE!I103</f>
        <v>16.745100000000001</v>
      </c>
      <c r="H94" s="196">
        <f t="shared" ref="H94" si="54">E94*(F94+G94)</f>
        <v>660.64509999999996</v>
      </c>
      <c r="I94" s="196">
        <f t="shared" si="51"/>
        <v>772.7605472408585</v>
      </c>
      <c r="J94" s="189">
        <f t="shared" si="52"/>
        <v>22.403142510991081</v>
      </c>
      <c r="K94" s="196">
        <f t="shared" ref="K94" si="55">I94+J94</f>
        <v>795.16368975184957</v>
      </c>
      <c r="L94" s="709">
        <f t="shared" si="43"/>
        <v>2.9033443995439415E-4</v>
      </c>
      <c r="M94" s="190"/>
      <c r="N94" s="190"/>
      <c r="O94" s="190"/>
    </row>
    <row r="95" spans="1:15" s="193" customFormat="1">
      <c r="A95" s="737" t="s">
        <v>729</v>
      </c>
      <c r="B95" s="201" t="s">
        <v>379</v>
      </c>
      <c r="C95" s="224" t="s">
        <v>812</v>
      </c>
      <c r="D95" s="221" t="s">
        <v>737</v>
      </c>
      <c r="E95" s="195">
        <v>1</v>
      </c>
      <c r="F95" s="202">
        <f>SUM('CPU SINAPI ND OBRA'!K304:K306)</f>
        <v>156.314032</v>
      </c>
      <c r="G95" s="202">
        <f>SUM('CPU SINAPI ND OBRA'!K307:K308)</f>
        <v>17.241724000000001</v>
      </c>
      <c r="H95" s="196">
        <f t="shared" si="50"/>
        <v>173.555756</v>
      </c>
      <c r="I95" s="196">
        <f t="shared" si="51"/>
        <v>187.59639215677134</v>
      </c>
      <c r="J95" s="189">
        <f t="shared" si="52"/>
        <v>23.067572000595707</v>
      </c>
      <c r="K95" s="196">
        <f t="shared" si="53"/>
        <v>210.66396415736705</v>
      </c>
      <c r="L95" s="709">
        <f t="shared" si="43"/>
        <v>7.6918758792028272E-5</v>
      </c>
      <c r="M95" s="192"/>
      <c r="N95" s="192"/>
      <c r="O95" s="192"/>
    </row>
    <row r="96" spans="1:15" s="193" customFormat="1">
      <c r="A96" s="737" t="s">
        <v>1527</v>
      </c>
      <c r="B96" s="201" t="s">
        <v>380</v>
      </c>
      <c r="C96" s="224" t="s">
        <v>2141</v>
      </c>
      <c r="D96" s="221" t="s">
        <v>737</v>
      </c>
      <c r="E96" s="195">
        <v>2</v>
      </c>
      <c r="F96" s="202">
        <f>CPUE!H857</f>
        <v>1046.0530999999999</v>
      </c>
      <c r="G96" s="202">
        <f>CPUE!I857</f>
        <v>75.16810000000001</v>
      </c>
      <c r="H96" s="196">
        <f t="shared" ref="H96" si="56">E96*(F96+G96)</f>
        <v>2242.4423999999999</v>
      </c>
      <c r="I96" s="196">
        <f t="shared" si="51"/>
        <v>2510.7891473800169</v>
      </c>
      <c r="J96" s="189">
        <f t="shared" si="52"/>
        <v>201.13366376795946</v>
      </c>
      <c r="K96" s="196">
        <f t="shared" ref="K96" si="57">I96+J96</f>
        <v>2711.9228111479765</v>
      </c>
      <c r="L96" s="709">
        <f t="shared" si="43"/>
        <v>9.9019183184774267E-4</v>
      </c>
      <c r="M96" s="190"/>
      <c r="N96" s="190"/>
      <c r="O96" s="190"/>
    </row>
    <row r="97" spans="1:15" s="193" customFormat="1">
      <c r="A97" s="737" t="s">
        <v>1329</v>
      </c>
      <c r="B97" s="201" t="s">
        <v>381</v>
      </c>
      <c r="C97" s="224" t="s">
        <v>2142</v>
      </c>
      <c r="D97" s="221" t="s">
        <v>737</v>
      </c>
      <c r="E97" s="195">
        <v>1</v>
      </c>
      <c r="F97" s="202">
        <f>CPUE!H111</f>
        <v>127.39399999999999</v>
      </c>
      <c r="G97" s="748">
        <f>CPUE!I111</f>
        <v>26.047751000000002</v>
      </c>
      <c r="H97" s="196">
        <f t="shared" si="50"/>
        <v>153.44175099999998</v>
      </c>
      <c r="I97" s="196">
        <f t="shared" si="51"/>
        <v>152.88873606957901</v>
      </c>
      <c r="J97" s="189">
        <f t="shared" si="52"/>
        <v>34.849088852488819</v>
      </c>
      <c r="K97" s="196">
        <f t="shared" si="53"/>
        <v>187.73782492206783</v>
      </c>
      <c r="L97" s="709">
        <f t="shared" si="43"/>
        <v>6.8547843619487763E-5</v>
      </c>
      <c r="M97" s="190"/>
      <c r="N97" s="190"/>
      <c r="O97" s="190"/>
    </row>
    <row r="98" spans="1:15" s="193" customFormat="1">
      <c r="A98" s="737" t="s">
        <v>1330</v>
      </c>
      <c r="B98" s="201" t="s">
        <v>382</v>
      </c>
      <c r="C98" s="224" t="s">
        <v>2143</v>
      </c>
      <c r="D98" s="221" t="s">
        <v>737</v>
      </c>
      <c r="E98" s="195">
        <v>8</v>
      </c>
      <c r="F98" s="202">
        <f>CPUE!H119</f>
        <v>102.544</v>
      </c>
      <c r="G98" s="748">
        <f>CPUE!I119</f>
        <v>26.047751000000002</v>
      </c>
      <c r="H98" s="196">
        <f t="shared" si="50"/>
        <v>1028.7340079999999</v>
      </c>
      <c r="I98" s="196">
        <f t="shared" si="51"/>
        <v>984.52502011202489</v>
      </c>
      <c r="J98" s="189">
        <f t="shared" si="52"/>
        <v>278.79271081991055</v>
      </c>
      <c r="K98" s="196">
        <f t="shared" si="53"/>
        <v>1263.3177309319353</v>
      </c>
      <c r="L98" s="709">
        <f t="shared" si="43"/>
        <v>4.612693595315496E-4</v>
      </c>
      <c r="M98" s="190"/>
      <c r="N98" s="190"/>
      <c r="O98" s="190"/>
    </row>
    <row r="99" spans="1:15" s="193" customFormat="1">
      <c r="A99" s="737" t="s">
        <v>1497</v>
      </c>
      <c r="B99" s="201" t="s">
        <v>383</v>
      </c>
      <c r="C99" s="198" t="s">
        <v>2144</v>
      </c>
      <c r="D99" s="221" t="s">
        <v>737</v>
      </c>
      <c r="E99" s="195">
        <v>2</v>
      </c>
      <c r="F99" s="202">
        <f>SUM('CPU SINAPI ND OBRA'!K312:K313)</f>
        <v>121.2572</v>
      </c>
      <c r="G99" s="748">
        <f>SUM('CPU SINAPI ND OBRA'!K314:K315)</f>
        <v>3.856827</v>
      </c>
      <c r="H99" s="196">
        <f t="shared" ref="H99" si="58">E99*(F99+G99)</f>
        <v>250.22805399999999</v>
      </c>
      <c r="I99" s="196">
        <f t="shared" si="51"/>
        <v>291.04761680041696</v>
      </c>
      <c r="J99" s="189">
        <f t="shared" si="52"/>
        <v>10.320039285670219</v>
      </c>
      <c r="K99" s="196">
        <f t="shared" ref="K99" si="59">I99+J99</f>
        <v>301.36765608608721</v>
      </c>
      <c r="L99" s="709">
        <f t="shared" si="43"/>
        <v>1.1003697826975515E-4</v>
      </c>
      <c r="M99" s="192"/>
      <c r="N99" s="192"/>
      <c r="O99" s="192"/>
    </row>
    <row r="100" spans="1:15" s="193" customFormat="1">
      <c r="A100" s="737" t="s">
        <v>1497</v>
      </c>
      <c r="B100" s="201" t="s">
        <v>384</v>
      </c>
      <c r="C100" s="198" t="s">
        <v>2145</v>
      </c>
      <c r="D100" s="221" t="s">
        <v>737</v>
      </c>
      <c r="E100" s="195">
        <v>4</v>
      </c>
      <c r="F100" s="202">
        <f>SUM('CPU SINAPI ND OBRA'!K312:K313)</f>
        <v>121.2572</v>
      </c>
      <c r="G100" s="748">
        <f>SUM('CPU SINAPI ND OBRA'!K314:K315)</f>
        <v>3.856827</v>
      </c>
      <c r="H100" s="196">
        <f t="shared" ref="H100" si="60">E100*(F100+G100)</f>
        <v>500.45610799999997</v>
      </c>
      <c r="I100" s="196">
        <f t="shared" si="51"/>
        <v>582.09523360083392</v>
      </c>
      <c r="J100" s="189">
        <f t="shared" si="52"/>
        <v>20.640078571340439</v>
      </c>
      <c r="K100" s="196">
        <f t="shared" ref="K100" si="61">I100+J100</f>
        <v>602.73531217217442</v>
      </c>
      <c r="L100" s="709">
        <f t="shared" si="43"/>
        <v>2.200739565395103E-4</v>
      </c>
      <c r="M100" s="192"/>
      <c r="N100" s="192"/>
      <c r="O100" s="192"/>
    </row>
    <row r="101" spans="1:15" s="191" customFormat="1">
      <c r="A101" s="737" t="s">
        <v>2111</v>
      </c>
      <c r="B101" s="201" t="s">
        <v>385</v>
      </c>
      <c r="C101" s="198" t="s">
        <v>2146</v>
      </c>
      <c r="D101" s="221" t="s">
        <v>737</v>
      </c>
      <c r="E101" s="195">
        <v>5</v>
      </c>
      <c r="F101" s="202">
        <f>CPUE!H1034</f>
        <v>102.27600000000001</v>
      </c>
      <c r="G101" s="202">
        <f>CPUE!I1034</f>
        <v>38.341660000000005</v>
      </c>
      <c r="H101" s="196">
        <f t="shared" ref="H101" si="62">E101*(F101+G101)</f>
        <v>703.0883</v>
      </c>
      <c r="I101" s="196">
        <f t="shared" si="51"/>
        <v>613.71996994569076</v>
      </c>
      <c r="J101" s="189">
        <f t="shared" si="52"/>
        <v>256.48508312520266</v>
      </c>
      <c r="K101" s="196">
        <f t="shared" ref="K101" si="63">I101+J101</f>
        <v>870.20505307089343</v>
      </c>
      <c r="L101" s="709">
        <f t="shared" si="43"/>
        <v>3.1773394583405523E-4</v>
      </c>
      <c r="M101" s="190"/>
      <c r="N101" s="190"/>
      <c r="O101" s="190"/>
    </row>
    <row r="102" spans="1:15" s="193" customFormat="1">
      <c r="A102" s="737" t="s">
        <v>730</v>
      </c>
      <c r="B102" s="201" t="s">
        <v>386</v>
      </c>
      <c r="C102" s="198" t="s">
        <v>2147</v>
      </c>
      <c r="D102" s="221" t="s">
        <v>737</v>
      </c>
      <c r="E102" s="195">
        <v>11</v>
      </c>
      <c r="F102" s="202">
        <f>SUM('CPU SINAPI ND OBRA'!K326:K327)</f>
        <v>159.50624000000002</v>
      </c>
      <c r="G102" s="202">
        <f>SUM('CPU SINAPI ND OBRA'!K328:K329)</f>
        <v>10.981580000000001</v>
      </c>
      <c r="H102" s="196">
        <f t="shared" si="50"/>
        <v>1875.3660200000004</v>
      </c>
      <c r="I102" s="196">
        <f t="shared" si="51"/>
        <v>2105.701851868379</v>
      </c>
      <c r="J102" s="189">
        <f t="shared" si="52"/>
        <v>161.61390013164115</v>
      </c>
      <c r="K102" s="196">
        <f t="shared" si="53"/>
        <v>2267.31575200002</v>
      </c>
      <c r="L102" s="709">
        <f t="shared" si="43"/>
        <v>8.2785451290178283E-4</v>
      </c>
      <c r="M102" s="192"/>
      <c r="N102" s="192"/>
      <c r="O102" s="192"/>
    </row>
    <row r="103" spans="1:15" s="193" customFormat="1">
      <c r="A103" s="737" t="s">
        <v>731</v>
      </c>
      <c r="B103" s="201" t="s">
        <v>387</v>
      </c>
      <c r="C103" s="198" t="s">
        <v>2148</v>
      </c>
      <c r="D103" s="221" t="s">
        <v>737</v>
      </c>
      <c r="E103" s="195">
        <v>9</v>
      </c>
      <c r="F103" s="202">
        <f>SUM('CPU SINAPI ND OBRA'!K333:K334)</f>
        <v>50.293599999999998</v>
      </c>
      <c r="G103" s="202">
        <f>SUM('CPU SINAPI ND OBRA'!K335:K336)</f>
        <v>6.9874720000000003</v>
      </c>
      <c r="H103" s="196">
        <f t="shared" si="50"/>
        <v>515.52964799999995</v>
      </c>
      <c r="I103" s="196">
        <f t="shared" si="51"/>
        <v>543.22750229603287</v>
      </c>
      <c r="J103" s="189">
        <f t="shared" si="52"/>
        <v>84.136372972871996</v>
      </c>
      <c r="K103" s="196">
        <f t="shared" si="53"/>
        <v>627.36387526890485</v>
      </c>
      <c r="L103" s="709">
        <f t="shared" si="43"/>
        <v>2.2906646986189575E-4</v>
      </c>
      <c r="M103" s="192"/>
      <c r="N103" s="192"/>
      <c r="O103" s="192"/>
    </row>
    <row r="104" spans="1:15" s="191" customFormat="1">
      <c r="A104" s="737" t="s">
        <v>2120</v>
      </c>
      <c r="B104" s="201" t="s">
        <v>387</v>
      </c>
      <c r="C104" s="198" t="s">
        <v>2149</v>
      </c>
      <c r="D104" s="221" t="s">
        <v>737</v>
      </c>
      <c r="E104" s="195">
        <v>9</v>
      </c>
      <c r="F104" s="202">
        <f>SUM('CPU SINAPI ND OBRA'!K340:K341)</f>
        <v>54.583599999999997</v>
      </c>
      <c r="G104" s="202">
        <f>SUM('CPU SINAPI ND OBRA'!K342:K343)</f>
        <v>6.9874720000000003</v>
      </c>
      <c r="H104" s="196">
        <f t="shared" ref="H104" si="64">E104*(F104+G104)</f>
        <v>554.13964799999997</v>
      </c>
      <c r="I104" s="196">
        <f t="shared" si="51"/>
        <v>589.56433212825766</v>
      </c>
      <c r="J104" s="189">
        <f t="shared" si="52"/>
        <v>84.136372972871996</v>
      </c>
      <c r="K104" s="196">
        <f t="shared" ref="K104" si="65">I104+J104</f>
        <v>673.70070510112964</v>
      </c>
      <c r="L104" s="709">
        <f t="shared" si="43"/>
        <v>2.4598522220432156E-4</v>
      </c>
      <c r="M104" s="266"/>
      <c r="N104" s="266"/>
      <c r="O104" s="190"/>
    </row>
    <row r="105" spans="1:15" s="193" customFormat="1">
      <c r="A105" s="737" t="s">
        <v>732</v>
      </c>
      <c r="B105" s="201" t="s">
        <v>811</v>
      </c>
      <c r="C105" s="198" t="s">
        <v>2150</v>
      </c>
      <c r="D105" s="221" t="s">
        <v>737</v>
      </c>
      <c r="E105" s="195">
        <v>9</v>
      </c>
      <c r="F105" s="202">
        <f>SUM('CPU SINAPI ND OBRA'!K347:K348)</f>
        <v>36.617199999999997</v>
      </c>
      <c r="G105" s="202">
        <f>SUM('CPU SINAPI ND OBRA'!K349:K350)</f>
        <v>6.1258939999999997</v>
      </c>
      <c r="H105" s="196">
        <f t="shared" si="50"/>
        <v>384.68784599999998</v>
      </c>
      <c r="I105" s="196">
        <f t="shared" si="51"/>
        <v>395.50698492600048</v>
      </c>
      <c r="J105" s="189">
        <f t="shared" si="52"/>
        <v>73.762084824995171</v>
      </c>
      <c r="K105" s="196">
        <f t="shared" si="53"/>
        <v>469.26906975099564</v>
      </c>
      <c r="L105" s="709">
        <f t="shared" si="43"/>
        <v>1.713420448016099E-4</v>
      </c>
      <c r="M105" s="192"/>
      <c r="N105" s="192"/>
      <c r="O105" s="192"/>
    </row>
    <row r="106" spans="1:15" s="193" customFormat="1" ht="42">
      <c r="A106" s="737" t="s">
        <v>733</v>
      </c>
      <c r="B106" s="201" t="s">
        <v>832</v>
      </c>
      <c r="C106" s="201" t="s">
        <v>2151</v>
      </c>
      <c r="D106" s="221" t="s">
        <v>737</v>
      </c>
      <c r="E106" s="195">
        <v>7</v>
      </c>
      <c r="F106" s="202">
        <v>60.26</v>
      </c>
      <c r="G106" s="202">
        <v>8.7100000000000009</v>
      </c>
      <c r="H106" s="196">
        <f t="shared" si="50"/>
        <v>482.78999999999996</v>
      </c>
      <c r="I106" s="196">
        <f t="shared" si="51"/>
        <v>506.23676663633944</v>
      </c>
      <c r="J106" s="189">
        <f t="shared" si="52"/>
        <v>81.571301389369211</v>
      </c>
      <c r="K106" s="196">
        <f t="shared" si="53"/>
        <v>587.80806802570862</v>
      </c>
      <c r="L106" s="709">
        <f t="shared" si="43"/>
        <v>2.1462364093131249E-4</v>
      </c>
      <c r="M106" s="192"/>
      <c r="N106" s="192"/>
      <c r="O106" s="192"/>
    </row>
    <row r="107" spans="1:15" s="191" customFormat="1">
      <c r="A107" s="749" t="s">
        <v>1333</v>
      </c>
      <c r="B107" s="201" t="s">
        <v>1138</v>
      </c>
      <c r="C107" s="199" t="s">
        <v>1538</v>
      </c>
      <c r="D107" s="221" t="s">
        <v>737</v>
      </c>
      <c r="E107" s="195">
        <v>9</v>
      </c>
      <c r="F107" s="202">
        <f>CPUE!H126</f>
        <v>325.73</v>
      </c>
      <c r="G107" s="748">
        <f>CPUE!I126</f>
        <v>12.698309999999999</v>
      </c>
      <c r="H107" s="196">
        <f t="shared" si="50"/>
        <v>3045.8547900000003</v>
      </c>
      <c r="I107" s="196">
        <f t="shared" si="51"/>
        <v>3518.2507182402296</v>
      </c>
      <c r="J107" s="189">
        <f t="shared" si="52"/>
        <v>152.90075527818217</v>
      </c>
      <c r="K107" s="196">
        <f t="shared" si="53"/>
        <v>3671.1514735184119</v>
      </c>
      <c r="L107" s="709">
        <f t="shared" si="43"/>
        <v>1.3404305563604715E-3</v>
      </c>
      <c r="M107" s="190"/>
      <c r="N107" s="190"/>
      <c r="O107" s="190"/>
    </row>
    <row r="108" spans="1:15" s="193" customFormat="1">
      <c r="A108" s="737" t="s">
        <v>710</v>
      </c>
      <c r="B108" s="201" t="s">
        <v>1139</v>
      </c>
      <c r="C108" s="201" t="s">
        <v>734</v>
      </c>
      <c r="D108" s="221" t="s">
        <v>737</v>
      </c>
      <c r="E108" s="195">
        <v>2</v>
      </c>
      <c r="F108" s="202">
        <f>SUM('CPU SINAPI ND OBRA'!K360:K364)</f>
        <v>682.73680000000002</v>
      </c>
      <c r="G108" s="202">
        <f>SUM('CPU SINAPI ND OBRA'!K365:K366)</f>
        <v>40.522441000000001</v>
      </c>
      <c r="H108" s="196">
        <f t="shared" si="50"/>
        <v>1446.5184819999999</v>
      </c>
      <c r="I108" s="196">
        <f t="shared" si="51"/>
        <v>1638.7391308882516</v>
      </c>
      <c r="J108" s="189">
        <f t="shared" si="52"/>
        <v>108.42933402801152</v>
      </c>
      <c r="K108" s="196">
        <f t="shared" si="53"/>
        <v>1747.168464916263</v>
      </c>
      <c r="L108" s="709">
        <f t="shared" si="43"/>
        <v>6.3793553994617854E-4</v>
      </c>
      <c r="M108" s="192"/>
      <c r="N108" s="192"/>
      <c r="O108" s="192"/>
    </row>
    <row r="109" spans="1:15" s="193" customFormat="1">
      <c r="A109" s="737" t="s">
        <v>711</v>
      </c>
      <c r="B109" s="201" t="s">
        <v>1140</v>
      </c>
      <c r="C109" s="201" t="s">
        <v>2152</v>
      </c>
      <c r="D109" s="221" t="s">
        <v>737</v>
      </c>
      <c r="E109" s="195">
        <v>2</v>
      </c>
      <c r="F109" s="750">
        <f>SUM('CPU SINAPI ND OBRA'!K370:K371)</f>
        <v>253.66</v>
      </c>
      <c r="G109" s="751">
        <f>SUM('CPU SINAPI ND OBRA'!K372:K373)</f>
        <v>38.091717000000003</v>
      </c>
      <c r="H109" s="196">
        <f t="shared" si="50"/>
        <v>583.50343399999997</v>
      </c>
      <c r="I109" s="196">
        <f t="shared" si="51"/>
        <v>608.84746206900502</v>
      </c>
      <c r="J109" s="189">
        <f t="shared" si="52"/>
        <v>101.92523955537342</v>
      </c>
      <c r="K109" s="196">
        <f t="shared" si="53"/>
        <v>710.77270162437844</v>
      </c>
      <c r="L109" s="709">
        <f t="shared" si="43"/>
        <v>2.5952114881576887E-4</v>
      </c>
      <c r="M109" s="192"/>
      <c r="N109" s="192"/>
      <c r="O109" s="192"/>
    </row>
    <row r="110" spans="1:15" s="193" customFormat="1">
      <c r="A110" s="737" t="s">
        <v>1136</v>
      </c>
      <c r="B110" s="201" t="s">
        <v>1141</v>
      </c>
      <c r="C110" s="199" t="s">
        <v>2153</v>
      </c>
      <c r="D110" s="221" t="s">
        <v>737</v>
      </c>
      <c r="E110" s="195">
        <v>1</v>
      </c>
      <c r="F110" s="750">
        <f>SUM('CPU SINAPI ND OBRA'!K377:K378)</f>
        <v>246.51</v>
      </c>
      <c r="G110" s="751">
        <f>SUM('CPU SINAPI ND OBRA'!K379:K380)</f>
        <v>38.091717000000003</v>
      </c>
      <c r="H110" s="196">
        <f t="shared" ref="H110" si="66">E110*(F110+G110)</f>
        <v>284.60171700000001</v>
      </c>
      <c r="I110" s="196">
        <f t="shared" si="51"/>
        <v>295.84283662112756</v>
      </c>
      <c r="J110" s="189">
        <f t="shared" si="52"/>
        <v>50.962619777686712</v>
      </c>
      <c r="K110" s="196">
        <f t="shared" ref="K110" si="67">I110+J110</f>
        <v>346.80545639881427</v>
      </c>
      <c r="L110" s="709">
        <f t="shared" si="43"/>
        <v>1.2662747212225002E-4</v>
      </c>
      <c r="M110" s="192"/>
      <c r="N110" s="192"/>
      <c r="O110" s="192"/>
    </row>
    <row r="111" spans="1:15" s="193" customFormat="1">
      <c r="A111" s="737" t="s">
        <v>1071</v>
      </c>
      <c r="B111" s="201" t="s">
        <v>1142</v>
      </c>
      <c r="C111" s="199" t="s">
        <v>2154</v>
      </c>
      <c r="D111" s="221" t="s">
        <v>737</v>
      </c>
      <c r="E111" s="195">
        <v>3</v>
      </c>
      <c r="F111" s="751">
        <f>CPUE!H133</f>
        <v>118</v>
      </c>
      <c r="G111" s="750">
        <f>CPUE!I133</f>
        <v>38.1905</v>
      </c>
      <c r="H111" s="196">
        <f t="shared" ref="H111" si="68">E111*(F111+G111)</f>
        <v>468.57149999999996</v>
      </c>
      <c r="I111" s="196">
        <f t="shared" si="51"/>
        <v>424.84428284401918</v>
      </c>
      <c r="J111" s="189">
        <f t="shared" si="52"/>
        <v>153.28434241646897</v>
      </c>
      <c r="K111" s="196">
        <f t="shared" ref="K111" si="69">I111+J111</f>
        <v>578.12862526048821</v>
      </c>
      <c r="L111" s="709">
        <f t="shared" si="43"/>
        <v>2.1108943076738021E-4</v>
      </c>
      <c r="M111" s="190"/>
      <c r="N111" s="190"/>
      <c r="O111" s="190"/>
    </row>
    <row r="112" spans="1:15" s="191" customFormat="1" ht="42">
      <c r="A112" s="749" t="s">
        <v>1072</v>
      </c>
      <c r="B112" s="201" t="s">
        <v>1143</v>
      </c>
      <c r="C112" s="199" t="s">
        <v>2155</v>
      </c>
      <c r="D112" s="221" t="s">
        <v>737</v>
      </c>
      <c r="E112" s="195">
        <v>6</v>
      </c>
      <c r="F112" s="202">
        <f>CPUE!H140</f>
        <v>41.54</v>
      </c>
      <c r="G112" s="748">
        <f>CPUE!I140</f>
        <v>12.76305</v>
      </c>
      <c r="H112" s="196">
        <f t="shared" si="50"/>
        <v>325.81830000000002</v>
      </c>
      <c r="I112" s="196">
        <f t="shared" si="51"/>
        <v>299.11917812441624</v>
      </c>
      <c r="J112" s="189">
        <f t="shared" si="52"/>
        <v>102.45352778719914</v>
      </c>
      <c r="K112" s="196">
        <f t="shared" si="53"/>
        <v>401.57270591161534</v>
      </c>
      <c r="L112" s="709">
        <f t="shared" si="43"/>
        <v>1.4662438460715476E-4</v>
      </c>
      <c r="M112" s="190"/>
      <c r="N112" s="190"/>
      <c r="O112" s="190"/>
    </row>
    <row r="113" spans="1:15" s="191" customFormat="1" ht="42.75" thickBot="1">
      <c r="A113" s="744" t="s">
        <v>1073</v>
      </c>
      <c r="B113" s="752" t="s">
        <v>1532</v>
      </c>
      <c r="C113" s="752" t="s">
        <v>2156</v>
      </c>
      <c r="D113" s="753" t="s">
        <v>4</v>
      </c>
      <c r="E113" s="726">
        <v>4.2</v>
      </c>
      <c r="F113" s="754">
        <f>CPUE!H149</f>
        <v>509.58500000000004</v>
      </c>
      <c r="G113" s="755">
        <f>CPUE!I149</f>
        <v>38.24799999999999</v>
      </c>
      <c r="H113" s="714">
        <f>E113*(F113+G113)</f>
        <v>2300.8986000000004</v>
      </c>
      <c r="I113" s="714">
        <f t="shared" si="51"/>
        <v>2568.576130697435</v>
      </c>
      <c r="J113" s="715">
        <f t="shared" si="52"/>
        <v>214.92118040463322</v>
      </c>
      <c r="K113" s="714">
        <f>I113+J113</f>
        <v>2783.4973111020681</v>
      </c>
      <c r="L113" s="716">
        <f t="shared" si="43"/>
        <v>1.0163254979431752E-3</v>
      </c>
      <c r="M113" s="190"/>
      <c r="N113" s="190"/>
      <c r="O113" s="190"/>
    </row>
    <row r="114" spans="1:15" s="191" customFormat="1" ht="21.75" thickBot="1">
      <c r="A114" s="924" t="s">
        <v>1108</v>
      </c>
      <c r="B114" s="925"/>
      <c r="C114" s="926" t="s">
        <v>1109</v>
      </c>
      <c r="D114" s="927"/>
      <c r="E114" s="927"/>
      <c r="F114" s="927"/>
      <c r="G114" s="925"/>
      <c r="H114" s="833">
        <f>SUM(H115:H115)</f>
        <v>2033.001827</v>
      </c>
      <c r="I114" s="833">
        <f>SUM(I115:I115)</f>
        <v>1246.5857167153854</v>
      </c>
      <c r="J114" s="834">
        <f>SUM(J115:J115)</f>
        <v>1330.2512917505801</v>
      </c>
      <c r="K114" s="833">
        <f>SUM(K115:K115)</f>
        <v>2576.8370084659655</v>
      </c>
      <c r="L114" s="830">
        <f t="shared" si="43"/>
        <v>9.4086857756319267E-4</v>
      </c>
      <c r="M114" s="190"/>
      <c r="N114" s="190"/>
      <c r="O114" s="190"/>
    </row>
    <row r="115" spans="1:15" s="191" customFormat="1" ht="21.75" thickBot="1">
      <c r="A115" s="756" t="s">
        <v>1074</v>
      </c>
      <c r="B115" s="728" t="s">
        <v>1110</v>
      </c>
      <c r="C115" s="728" t="s">
        <v>1144</v>
      </c>
      <c r="D115" s="757" t="s">
        <v>4</v>
      </c>
      <c r="E115" s="758">
        <v>4.1900000000000004</v>
      </c>
      <c r="F115" s="731">
        <f>CPUE!H160</f>
        <v>247.90289999999999</v>
      </c>
      <c r="G115" s="731">
        <f>CPUE!I160</f>
        <v>237.30039999999997</v>
      </c>
      <c r="H115" s="731">
        <f>E115*(F115+G115)</f>
        <v>2033.001827</v>
      </c>
      <c r="I115" s="731">
        <f>E115*F115*(1+$G$436)</f>
        <v>1246.5857167153854</v>
      </c>
      <c r="J115" s="732">
        <f>E115*G115*(1+$G$436)*(1+$H$7)</f>
        <v>1330.2512917505801</v>
      </c>
      <c r="K115" s="731">
        <f>I115+J115</f>
        <v>2576.8370084659655</v>
      </c>
      <c r="L115" s="733">
        <f t="shared" si="43"/>
        <v>9.4086857756319267E-4</v>
      </c>
      <c r="M115" s="190"/>
      <c r="N115" s="190"/>
      <c r="O115" s="190"/>
    </row>
    <row r="116" spans="1:15" ht="21.75" thickBot="1">
      <c r="A116" s="924">
        <v>3</v>
      </c>
      <c r="B116" s="925"/>
      <c r="C116" s="926" t="s">
        <v>6</v>
      </c>
      <c r="D116" s="927"/>
      <c r="E116" s="927"/>
      <c r="F116" s="927"/>
      <c r="G116" s="925"/>
      <c r="H116" s="833">
        <f>H117+H123+H155+H121</f>
        <v>159525.79571133334</v>
      </c>
      <c r="I116" s="833">
        <f>I117+I123+I155+I121</f>
        <v>151843.03176655961</v>
      </c>
      <c r="J116" s="834">
        <f>J117+J123+J155+J121</f>
        <v>44154.631245120698</v>
      </c>
      <c r="K116" s="833">
        <f>K117+K123+K155+K121</f>
        <v>195997.66301168027</v>
      </c>
      <c r="L116" s="830">
        <f t="shared" si="43"/>
        <v>7.1563720094695013E-2</v>
      </c>
      <c r="M116" s="190"/>
      <c r="N116" s="190"/>
      <c r="O116" s="190"/>
    </row>
    <row r="117" spans="1:15" ht="21.75" thickBot="1">
      <c r="A117" s="924" t="s">
        <v>19</v>
      </c>
      <c r="B117" s="925"/>
      <c r="C117" s="926" t="s">
        <v>132</v>
      </c>
      <c r="D117" s="927"/>
      <c r="E117" s="927"/>
      <c r="F117" s="927"/>
      <c r="G117" s="925"/>
      <c r="H117" s="833">
        <f>SUM(H118:H120)</f>
        <v>5568.9190740000004</v>
      </c>
      <c r="I117" s="833">
        <f>SUM(I118:I120)</f>
        <v>5362.0749057832718</v>
      </c>
      <c r="J117" s="834">
        <f>SUM(J118:J120)</f>
        <v>1473.0049463942348</v>
      </c>
      <c r="K117" s="833">
        <f>SUM(K118:K120)</f>
        <v>6835.0798521775068</v>
      </c>
      <c r="L117" s="830">
        <f t="shared" si="43"/>
        <v>2.4956610902905022E-3</v>
      </c>
      <c r="M117" s="190"/>
      <c r="N117" s="190"/>
      <c r="O117" s="190"/>
    </row>
    <row r="118" spans="1:15" s="191" customFormat="1">
      <c r="A118" s="717" t="s">
        <v>1334</v>
      </c>
      <c r="B118" s="718" t="s">
        <v>203</v>
      </c>
      <c r="C118" s="718" t="s">
        <v>1338</v>
      </c>
      <c r="D118" s="741" t="s">
        <v>737</v>
      </c>
      <c r="E118" s="720">
        <v>64</v>
      </c>
      <c r="F118" s="721">
        <f>CPUE!H166</f>
        <v>25.91</v>
      </c>
      <c r="G118" s="721">
        <f>CPUE!I166</f>
        <v>7.6469999999999994</v>
      </c>
      <c r="H118" s="721">
        <f>E118*(F118+G118)</f>
        <v>2147.6480000000001</v>
      </c>
      <c r="I118" s="721">
        <f>E118*F118*(1+$G$436)</f>
        <v>1990.0954338510348</v>
      </c>
      <c r="J118" s="722">
        <f>E118*G118*(1+$G$436)*(1+$H$7)</f>
        <v>654.77525783776275</v>
      </c>
      <c r="K118" s="721">
        <f>I118+J118</f>
        <v>2644.8706916887977</v>
      </c>
      <c r="L118" s="723">
        <f t="shared" si="43"/>
        <v>9.657094016238334E-4</v>
      </c>
      <c r="M118" s="190"/>
      <c r="N118" s="190"/>
      <c r="O118" s="190"/>
    </row>
    <row r="119" spans="1:15" s="193" customFormat="1">
      <c r="A119" s="710" t="s">
        <v>735</v>
      </c>
      <c r="B119" s="194" t="s">
        <v>204</v>
      </c>
      <c r="C119" s="194" t="s">
        <v>1205</v>
      </c>
      <c r="D119" s="221" t="s">
        <v>737</v>
      </c>
      <c r="E119" s="195">
        <v>13</v>
      </c>
      <c r="F119" s="196">
        <f>SUM('CPU SINAPI ND OBRA'!K384:K385)</f>
        <v>215.41</v>
      </c>
      <c r="G119" s="196">
        <f>SUM('CPU SINAPI ND OBRA'!K386:K387)</f>
        <v>26.652698000000001</v>
      </c>
      <c r="H119" s="196">
        <f>E119*(F119+G119)</f>
        <v>3146.8150740000001</v>
      </c>
      <c r="I119" s="196">
        <f>E119*F119*(1+$G$436)</f>
        <v>3360.7463010638194</v>
      </c>
      <c r="J119" s="189">
        <f>E119*G119*(1+$G$436)*(1+$H$7)</f>
        <v>463.55975722768397</v>
      </c>
      <c r="K119" s="196">
        <f>I119+J119</f>
        <v>3824.3060582915032</v>
      </c>
      <c r="L119" s="709">
        <f t="shared" si="43"/>
        <v>1.396351181471535E-3</v>
      </c>
      <c r="M119" s="192"/>
      <c r="N119" s="192"/>
      <c r="O119" s="192"/>
    </row>
    <row r="120" spans="1:15" s="191" customFormat="1" ht="21.75" thickBot="1">
      <c r="A120" s="724" t="s">
        <v>1335</v>
      </c>
      <c r="B120" s="711" t="s">
        <v>205</v>
      </c>
      <c r="C120" s="711" t="s">
        <v>30</v>
      </c>
      <c r="D120" s="725" t="s">
        <v>13</v>
      </c>
      <c r="E120" s="726">
        <v>104</v>
      </c>
      <c r="F120" s="714">
        <f>CPUE!H172</f>
        <v>0.09</v>
      </c>
      <c r="G120" s="714">
        <f>CPUE!I172</f>
        <v>2.5489999999999999</v>
      </c>
      <c r="H120" s="714">
        <f>E120*(F120+G120)</f>
        <v>274.45599999999996</v>
      </c>
      <c r="I120" s="714">
        <f>E120*F120*(1+$G$436)</f>
        <v>11.233170868418133</v>
      </c>
      <c r="J120" s="715">
        <f>E120*G120*(1+$G$436)*(1+$H$7)</f>
        <v>354.66993132878821</v>
      </c>
      <c r="K120" s="714">
        <f>I120+J120</f>
        <v>365.90310219720635</v>
      </c>
      <c r="L120" s="716">
        <f t="shared" si="43"/>
        <v>1.3360050719513409E-4</v>
      </c>
      <c r="M120" s="190"/>
      <c r="N120" s="190"/>
      <c r="O120" s="190"/>
    </row>
    <row r="121" spans="1:15" ht="21.75" thickBot="1">
      <c r="A121" s="924" t="s">
        <v>21</v>
      </c>
      <c r="B121" s="925"/>
      <c r="C121" s="926" t="s">
        <v>833</v>
      </c>
      <c r="D121" s="927"/>
      <c r="E121" s="927"/>
      <c r="F121" s="927"/>
      <c r="G121" s="925"/>
      <c r="H121" s="833">
        <f>SUM(H122:H122)</f>
        <v>7788.4932440000002</v>
      </c>
      <c r="I121" s="833">
        <f>SUM(I122:I122)</f>
        <v>7844.0176064082179</v>
      </c>
      <c r="J121" s="834">
        <f>SUM(J122:J122)</f>
        <v>1675.7012283823642</v>
      </c>
      <c r="K121" s="833">
        <f>SUM(K122:K122)</f>
        <v>9519.7188347905831</v>
      </c>
      <c r="L121" s="830">
        <f t="shared" si="43"/>
        <v>3.4758909040285345E-3</v>
      </c>
      <c r="M121" s="190"/>
      <c r="N121" s="190"/>
      <c r="O121" s="190"/>
    </row>
    <row r="122" spans="1:15" s="193" customFormat="1" ht="42.75" thickBot="1">
      <c r="A122" s="756" t="s">
        <v>1096</v>
      </c>
      <c r="B122" s="728" t="s">
        <v>206</v>
      </c>
      <c r="C122" s="728" t="s">
        <v>834</v>
      </c>
      <c r="D122" s="759" t="s">
        <v>737</v>
      </c>
      <c r="E122" s="730">
        <v>4</v>
      </c>
      <c r="F122" s="731">
        <f>SUM('CPU SINAPI ND OBRA'!K391:K396)</f>
        <v>1634</v>
      </c>
      <c r="G122" s="731">
        <f>SUM('CPU SINAPI ND OBRA'!K397:K399)</f>
        <v>313.123311</v>
      </c>
      <c r="H122" s="731">
        <f>E122*(F122+G122)</f>
        <v>7788.4932440000002</v>
      </c>
      <c r="I122" s="731">
        <f>E122*F122*(1+$G$436)</f>
        <v>7844.0176064082179</v>
      </c>
      <c r="J122" s="732">
        <f>E122*G122*(1+$G$436)*(1+$H$7)</f>
        <v>1675.7012283823642</v>
      </c>
      <c r="K122" s="731">
        <f>I122+J122</f>
        <v>9519.7188347905831</v>
      </c>
      <c r="L122" s="733">
        <f t="shared" si="43"/>
        <v>3.4758909040285345E-3</v>
      </c>
      <c r="M122" s="192"/>
      <c r="N122" s="192"/>
      <c r="O122" s="192"/>
    </row>
    <row r="123" spans="1:15" ht="21.75" thickBot="1">
      <c r="A123" s="924" t="s">
        <v>134</v>
      </c>
      <c r="B123" s="925"/>
      <c r="C123" s="926" t="s">
        <v>133</v>
      </c>
      <c r="D123" s="927"/>
      <c r="E123" s="927"/>
      <c r="F123" s="927"/>
      <c r="G123" s="925"/>
      <c r="H123" s="833">
        <f>SUM(H124:H154)</f>
        <v>93313.044633333324</v>
      </c>
      <c r="I123" s="833">
        <f>SUM(I124:I154)</f>
        <v>90995.133978484664</v>
      </c>
      <c r="J123" s="834">
        <f>SUM(J124:J154)</f>
        <v>23401.973182721013</v>
      </c>
      <c r="K123" s="833">
        <f>SUM(K124:K154)</f>
        <v>114397.10716120567</v>
      </c>
      <c r="L123" s="830">
        <f t="shared" si="43"/>
        <v>4.1769286586031774E-2</v>
      </c>
      <c r="M123" s="190"/>
      <c r="N123" s="190"/>
      <c r="O123" s="190"/>
    </row>
    <row r="124" spans="1:15" s="193" customFormat="1">
      <c r="A124" s="717" t="s">
        <v>1087</v>
      </c>
      <c r="B124" s="718" t="s">
        <v>207</v>
      </c>
      <c r="C124" s="760" t="s">
        <v>111</v>
      </c>
      <c r="D124" s="741" t="s">
        <v>737</v>
      </c>
      <c r="E124" s="761">
        <v>103</v>
      </c>
      <c r="F124" s="721">
        <f>SUM('CPU SINAPI ND OBRA'!K403:K405)</f>
        <v>42.507199999999997</v>
      </c>
      <c r="G124" s="721">
        <f>SUM('CPU SINAPI ND OBRA'!K406:K407)</f>
        <v>4.0789000000000009</v>
      </c>
      <c r="H124" s="721">
        <f t="shared" ref="H124:H133" si="70">E124*(F124+G124)</f>
        <v>4798.3683000000001</v>
      </c>
      <c r="I124" s="721">
        <f t="shared" ref="I124:I154" si="71">E124*F124*(1+$G$436)</f>
        <v>5254.4376064120079</v>
      </c>
      <c r="J124" s="722">
        <f t="shared" ref="J124:J154" si="72">E124*G124*(1+$G$436)*(1+$H$7)</f>
        <v>562.08433110416775</v>
      </c>
      <c r="K124" s="721">
        <f t="shared" ref="K124:K133" si="73">I124+J124</f>
        <v>5816.521937516176</v>
      </c>
      <c r="L124" s="723">
        <f t="shared" si="43"/>
        <v>2.1237597503203629E-3</v>
      </c>
      <c r="M124" s="192"/>
      <c r="N124" s="192"/>
      <c r="O124" s="192"/>
    </row>
    <row r="125" spans="1:15" s="193" customFormat="1">
      <c r="A125" s="710" t="s">
        <v>1149</v>
      </c>
      <c r="B125" s="194" t="s">
        <v>208</v>
      </c>
      <c r="C125" s="194" t="s">
        <v>1502</v>
      </c>
      <c r="D125" s="210" t="s">
        <v>13</v>
      </c>
      <c r="E125" s="203">
        <v>8</v>
      </c>
      <c r="F125" s="196">
        <f>SUM('CPU SINAPI ND OBRA'!K411)</f>
        <v>149.61599999999999</v>
      </c>
      <c r="G125" s="196">
        <f>SUM('CPU SINAPI ND OBRA'!K412:K413)</f>
        <v>42.245750000000001</v>
      </c>
      <c r="H125" s="196">
        <f t="shared" si="70"/>
        <v>1534.8939999999998</v>
      </c>
      <c r="I125" s="196">
        <f t="shared" si="71"/>
        <v>1436.4633270506388</v>
      </c>
      <c r="J125" s="189">
        <f t="shared" si="72"/>
        <v>452.16215262193788</v>
      </c>
      <c r="K125" s="196">
        <f t="shared" si="73"/>
        <v>1888.6254796725766</v>
      </c>
      <c r="L125" s="709">
        <f t="shared" si="43"/>
        <v>6.8958508542493605E-4</v>
      </c>
      <c r="M125" s="192"/>
      <c r="N125" s="192"/>
      <c r="O125" s="192"/>
    </row>
    <row r="126" spans="1:15" s="193" customFormat="1">
      <c r="A126" s="710" t="s">
        <v>743</v>
      </c>
      <c r="B126" s="194" t="s">
        <v>209</v>
      </c>
      <c r="C126" s="194" t="s">
        <v>1503</v>
      </c>
      <c r="D126" s="210" t="s">
        <v>13</v>
      </c>
      <c r="E126" s="203">
        <v>42</v>
      </c>
      <c r="F126" s="196">
        <f>SUM('CPU SINAPI ND OBRA'!K417)</f>
        <v>191.32145999999997</v>
      </c>
      <c r="G126" s="196">
        <f>SUM('CPU SINAPI ND OBRA'!K418:K420)</f>
        <v>16.952399999999997</v>
      </c>
      <c r="H126" s="196">
        <f t="shared" si="70"/>
        <v>8747.5021199999974</v>
      </c>
      <c r="I126" s="196">
        <f t="shared" si="71"/>
        <v>9643.6067671965211</v>
      </c>
      <c r="J126" s="189">
        <f t="shared" si="72"/>
        <v>952.58047968299127</v>
      </c>
      <c r="K126" s="196">
        <f t="shared" si="73"/>
        <v>10596.187246879512</v>
      </c>
      <c r="L126" s="709">
        <f t="shared" si="43"/>
        <v>3.8689368360553976E-3</v>
      </c>
      <c r="M126" s="192"/>
      <c r="N126" s="192"/>
      <c r="O126" s="192"/>
    </row>
    <row r="127" spans="1:15" s="193" customFormat="1">
      <c r="A127" s="710" t="s">
        <v>1150</v>
      </c>
      <c r="B127" s="194" t="s">
        <v>210</v>
      </c>
      <c r="C127" s="194" t="s">
        <v>1504</v>
      </c>
      <c r="D127" s="210" t="s">
        <v>13</v>
      </c>
      <c r="E127" s="203">
        <v>60</v>
      </c>
      <c r="F127" s="196">
        <f>'CPU SINAPI ND OBRA'!K424</f>
        <v>118.08234999999999</v>
      </c>
      <c r="G127" s="196">
        <f>SUM('CPU SINAPI ND OBRA'!K425:K427)</f>
        <v>14.126999999999999</v>
      </c>
      <c r="H127" s="196">
        <f t="shared" si="70"/>
        <v>7932.5609999999997</v>
      </c>
      <c r="I127" s="196">
        <f t="shared" si="71"/>
        <v>8502.815474963807</v>
      </c>
      <c r="J127" s="189">
        <f t="shared" si="72"/>
        <v>1134.0243805749897</v>
      </c>
      <c r="K127" s="196">
        <f t="shared" si="73"/>
        <v>9636.8398555387976</v>
      </c>
      <c r="L127" s="709">
        <f t="shared" si="43"/>
        <v>3.5186547605829399E-3</v>
      </c>
      <c r="M127" s="192"/>
      <c r="N127" s="192"/>
      <c r="O127" s="192"/>
    </row>
    <row r="128" spans="1:15" s="193" customFormat="1">
      <c r="A128" s="710" t="s">
        <v>1151</v>
      </c>
      <c r="B128" s="194" t="s">
        <v>211</v>
      </c>
      <c r="C128" s="194" t="s">
        <v>1505</v>
      </c>
      <c r="D128" s="210" t="s">
        <v>13</v>
      </c>
      <c r="E128" s="203">
        <v>58</v>
      </c>
      <c r="F128" s="196">
        <f>SUM('CPU SINAPI ND OBRA'!K431)</f>
        <v>96.221789999999999</v>
      </c>
      <c r="G128" s="196">
        <f>SUM('CPU SINAPI ND OBRA'!K432:K434)</f>
        <v>12.243400000000001</v>
      </c>
      <c r="H128" s="196">
        <f t="shared" si="70"/>
        <v>6290.9810200000002</v>
      </c>
      <c r="I128" s="196">
        <f t="shared" si="71"/>
        <v>6697.7347097684551</v>
      </c>
      <c r="J128" s="189">
        <f t="shared" si="72"/>
        <v>950.0604255039359</v>
      </c>
      <c r="K128" s="196">
        <f t="shared" si="73"/>
        <v>7647.7951352723912</v>
      </c>
      <c r="L128" s="709">
        <f t="shared" si="43"/>
        <v>2.7924040623361285E-3</v>
      </c>
      <c r="M128" s="192"/>
      <c r="N128" s="192"/>
      <c r="O128" s="192"/>
    </row>
    <row r="129" spans="1:15" s="193" customFormat="1">
      <c r="A129" s="710" t="s">
        <v>742</v>
      </c>
      <c r="B129" s="194" t="s">
        <v>212</v>
      </c>
      <c r="C129" s="219" t="s">
        <v>1506</v>
      </c>
      <c r="D129" s="210" t="s">
        <v>13</v>
      </c>
      <c r="E129" s="203">
        <v>180</v>
      </c>
      <c r="F129" s="196">
        <f>'CPU SINAPI ND OBRA'!K438</f>
        <v>88.304609999999983</v>
      </c>
      <c r="G129" s="196">
        <f>SUM('CPU SINAPI ND OBRA'!K439:K441)</f>
        <v>10.736519999999999</v>
      </c>
      <c r="H129" s="196">
        <f t="shared" si="70"/>
        <v>17827.403399999996</v>
      </c>
      <c r="I129" s="196">
        <f t="shared" si="71"/>
        <v>19075.784088442779</v>
      </c>
      <c r="J129" s="189">
        <f t="shared" si="72"/>
        <v>2585.5755877109764</v>
      </c>
      <c r="K129" s="196">
        <f t="shared" si="73"/>
        <v>21661.359676153756</v>
      </c>
      <c r="L129" s="709">
        <f t="shared" si="43"/>
        <v>7.9091120624351537E-3</v>
      </c>
      <c r="M129" s="192"/>
      <c r="N129" s="192"/>
      <c r="O129" s="192"/>
    </row>
    <row r="130" spans="1:15" s="193" customFormat="1">
      <c r="A130" s="710" t="s">
        <v>744</v>
      </c>
      <c r="B130" s="194" t="s">
        <v>213</v>
      </c>
      <c r="C130" s="199" t="s">
        <v>1152</v>
      </c>
      <c r="D130" s="221" t="s">
        <v>737</v>
      </c>
      <c r="E130" s="203">
        <v>39</v>
      </c>
      <c r="F130" s="196">
        <f>SUM('CPU SINAPI ND OBRA'!K445:K446)</f>
        <v>67.805279999999996</v>
      </c>
      <c r="G130" s="196">
        <f>SUM('CPU SINAPI ND OBRA'!K447:K449)</f>
        <v>27.123839999999994</v>
      </c>
      <c r="H130" s="196">
        <f t="shared" si="70"/>
        <v>3702.2356799999993</v>
      </c>
      <c r="I130" s="196">
        <f t="shared" si="71"/>
        <v>3173.6179000872276</v>
      </c>
      <c r="J130" s="189">
        <f t="shared" si="72"/>
        <v>1415.262426957587</v>
      </c>
      <c r="K130" s="196">
        <f t="shared" si="73"/>
        <v>4588.8803270448143</v>
      </c>
      <c r="L130" s="709">
        <f t="shared" si="43"/>
        <v>1.6755166476302174E-3</v>
      </c>
      <c r="M130" s="192"/>
      <c r="N130" s="192"/>
      <c r="O130" s="192"/>
    </row>
    <row r="131" spans="1:15" s="191" customFormat="1">
      <c r="A131" s="710" t="s">
        <v>1340</v>
      </c>
      <c r="B131" s="194" t="s">
        <v>214</v>
      </c>
      <c r="C131" s="199" t="s">
        <v>1194</v>
      </c>
      <c r="D131" s="221" t="s">
        <v>737</v>
      </c>
      <c r="E131" s="203">
        <v>2</v>
      </c>
      <c r="F131" s="196">
        <f>CPUE!H181</f>
        <v>289.81723999999997</v>
      </c>
      <c r="G131" s="196">
        <f>CPUE!I181</f>
        <v>58.27</v>
      </c>
      <c r="H131" s="196">
        <f t="shared" si="70"/>
        <v>696.1744799999999</v>
      </c>
      <c r="I131" s="196">
        <f t="shared" si="71"/>
        <v>695.63388408832191</v>
      </c>
      <c r="J131" s="189">
        <f t="shared" si="72"/>
        <v>155.91798366273721</v>
      </c>
      <c r="K131" s="196">
        <f t="shared" si="73"/>
        <v>851.55186775105915</v>
      </c>
      <c r="L131" s="709">
        <f t="shared" si="43"/>
        <v>3.1092319455982426E-4</v>
      </c>
      <c r="M131" s="190"/>
      <c r="N131" s="190"/>
      <c r="O131" s="190"/>
    </row>
    <row r="132" spans="1:15" s="191" customFormat="1">
      <c r="A132" s="710" t="s">
        <v>1341</v>
      </c>
      <c r="B132" s="194" t="s">
        <v>215</v>
      </c>
      <c r="C132" s="199" t="s">
        <v>1195</v>
      </c>
      <c r="D132" s="221" t="s">
        <v>737</v>
      </c>
      <c r="E132" s="203">
        <v>2</v>
      </c>
      <c r="F132" s="196">
        <f>CPUE!H190</f>
        <v>202.36538666666667</v>
      </c>
      <c r="G132" s="196">
        <f>CPUE!I190</f>
        <v>58.27</v>
      </c>
      <c r="H132" s="196">
        <f t="shared" si="70"/>
        <v>521.2707733333333</v>
      </c>
      <c r="I132" s="196">
        <f t="shared" si="71"/>
        <v>485.72755689747254</v>
      </c>
      <c r="J132" s="189">
        <f t="shared" si="72"/>
        <v>155.91798366273721</v>
      </c>
      <c r="K132" s="196">
        <f t="shared" si="73"/>
        <v>641.64554056020972</v>
      </c>
      <c r="L132" s="709">
        <f t="shared" si="43"/>
        <v>2.3428106824887834E-4</v>
      </c>
      <c r="M132" s="190"/>
      <c r="N132" s="190"/>
      <c r="O132" s="190"/>
    </row>
    <row r="133" spans="1:15" s="191" customFormat="1">
      <c r="A133" s="710" t="s">
        <v>1342</v>
      </c>
      <c r="B133" s="194" t="s">
        <v>216</v>
      </c>
      <c r="C133" s="199" t="s">
        <v>1196</v>
      </c>
      <c r="D133" s="221" t="s">
        <v>737</v>
      </c>
      <c r="E133" s="203">
        <v>33</v>
      </c>
      <c r="F133" s="196">
        <f>CPUE!H199</f>
        <v>22.15035</v>
      </c>
      <c r="G133" s="196">
        <f>CPUE!I199</f>
        <v>33.913139999999999</v>
      </c>
      <c r="H133" s="196">
        <f t="shared" si="70"/>
        <v>1850.0951700000001</v>
      </c>
      <c r="I133" s="196">
        <f t="shared" si="71"/>
        <v>877.24529801215442</v>
      </c>
      <c r="J133" s="189">
        <f t="shared" si="72"/>
        <v>1497.2803971132653</v>
      </c>
      <c r="K133" s="196">
        <f t="shared" si="73"/>
        <v>2374.5256951254196</v>
      </c>
      <c r="L133" s="709">
        <f t="shared" si="43"/>
        <v>8.6699958352814564E-4</v>
      </c>
      <c r="M133" s="190"/>
      <c r="N133" s="190"/>
      <c r="O133" s="190"/>
    </row>
    <row r="134" spans="1:15" s="191" customFormat="1">
      <c r="A134" s="710" t="s">
        <v>1343</v>
      </c>
      <c r="B134" s="194" t="s">
        <v>217</v>
      </c>
      <c r="C134" s="199" t="s">
        <v>1197</v>
      </c>
      <c r="D134" s="221" t="s">
        <v>737</v>
      </c>
      <c r="E134" s="203">
        <v>24</v>
      </c>
      <c r="F134" s="196">
        <f>CPUE!H208</f>
        <v>29.674580000000002</v>
      </c>
      <c r="G134" s="196">
        <f>CPUE!I208</f>
        <v>37.525880000000001</v>
      </c>
      <c r="H134" s="196">
        <f t="shared" ref="H134:H154" si="74">E134*(F134+G134)</f>
        <v>1612.81104</v>
      </c>
      <c r="I134" s="196">
        <f t="shared" si="71"/>
        <v>854.71699381677797</v>
      </c>
      <c r="J134" s="189">
        <f t="shared" si="72"/>
        <v>1204.9341777456332</v>
      </c>
      <c r="K134" s="196">
        <f t="shared" ref="K134:K154" si="75">I134+J134</f>
        <v>2059.651171562411</v>
      </c>
      <c r="L134" s="709">
        <f t="shared" si="43"/>
        <v>7.5203090521349281E-4</v>
      </c>
      <c r="M134" s="190"/>
      <c r="N134" s="190"/>
      <c r="O134" s="190"/>
    </row>
    <row r="135" spans="1:15" s="191" customFormat="1">
      <c r="A135" s="710" t="s">
        <v>1344</v>
      </c>
      <c r="B135" s="194" t="s">
        <v>218</v>
      </c>
      <c r="C135" s="199" t="s">
        <v>1198</v>
      </c>
      <c r="D135" s="221" t="s">
        <v>737</v>
      </c>
      <c r="E135" s="203">
        <v>8</v>
      </c>
      <c r="F135" s="196">
        <f>CPUE!H217</f>
        <v>29.674580000000002</v>
      </c>
      <c r="G135" s="196">
        <f>CPUE!I217</f>
        <v>37.525880000000001</v>
      </c>
      <c r="H135" s="196">
        <f t="shared" si="74"/>
        <v>537.60368000000005</v>
      </c>
      <c r="I135" s="196">
        <f t="shared" si="71"/>
        <v>284.90566460559268</v>
      </c>
      <c r="J135" s="189">
        <f t="shared" si="72"/>
        <v>401.64472591521104</v>
      </c>
      <c r="K135" s="196">
        <f t="shared" si="75"/>
        <v>686.55039052080372</v>
      </c>
      <c r="L135" s="709">
        <f t="shared" si="43"/>
        <v>2.5067696840449762E-4</v>
      </c>
      <c r="M135" s="190"/>
      <c r="N135" s="190"/>
      <c r="O135" s="190"/>
    </row>
    <row r="136" spans="1:15" s="191" customFormat="1">
      <c r="A136" s="710" t="s">
        <v>1345</v>
      </c>
      <c r="B136" s="194" t="s">
        <v>835</v>
      </c>
      <c r="C136" s="199" t="s">
        <v>1199</v>
      </c>
      <c r="D136" s="221" t="s">
        <v>737</v>
      </c>
      <c r="E136" s="203">
        <v>20</v>
      </c>
      <c r="F136" s="196">
        <f>CPUE!H226</f>
        <v>47.530609999999996</v>
      </c>
      <c r="G136" s="196">
        <f>CPUE!I226</f>
        <v>42.886719999999997</v>
      </c>
      <c r="H136" s="196">
        <f t="shared" si="74"/>
        <v>1808.3465999999999</v>
      </c>
      <c r="I136" s="196">
        <f t="shared" si="71"/>
        <v>1140.853554722529</v>
      </c>
      <c r="J136" s="189">
        <f t="shared" si="72"/>
        <v>1147.5563597577457</v>
      </c>
      <c r="K136" s="196">
        <f t="shared" si="75"/>
        <v>2288.4099144802749</v>
      </c>
      <c r="L136" s="709">
        <f t="shared" si="43"/>
        <v>8.3555652687568934E-4</v>
      </c>
      <c r="M136" s="190"/>
      <c r="N136" s="190"/>
      <c r="O136" s="190"/>
    </row>
    <row r="137" spans="1:15" s="191" customFormat="1">
      <c r="A137" s="710" t="s">
        <v>1346</v>
      </c>
      <c r="B137" s="194" t="s">
        <v>836</v>
      </c>
      <c r="C137" s="199" t="s">
        <v>1200</v>
      </c>
      <c r="D137" s="221" t="s">
        <v>737</v>
      </c>
      <c r="E137" s="203">
        <v>4</v>
      </c>
      <c r="F137" s="196">
        <f>CPUE!H235</f>
        <v>47.530609999999996</v>
      </c>
      <c r="G137" s="196">
        <f>CPUE!I235</f>
        <v>42.886719999999997</v>
      </c>
      <c r="H137" s="196">
        <f t="shared" si="74"/>
        <v>361.66931999999997</v>
      </c>
      <c r="I137" s="196">
        <f t="shared" si="71"/>
        <v>228.1707109445058</v>
      </c>
      <c r="J137" s="189">
        <f t="shared" si="72"/>
        <v>229.51127195154913</v>
      </c>
      <c r="K137" s="196">
        <f t="shared" si="75"/>
        <v>457.68198289605493</v>
      </c>
      <c r="L137" s="709">
        <f t="shared" si="43"/>
        <v>1.6711130537513786E-4</v>
      </c>
      <c r="M137" s="190"/>
      <c r="N137" s="190"/>
      <c r="O137" s="190"/>
    </row>
    <row r="138" spans="1:15" s="191" customFormat="1">
      <c r="A138" s="710" t="s">
        <v>1347</v>
      </c>
      <c r="B138" s="194" t="s">
        <v>837</v>
      </c>
      <c r="C138" s="199" t="s">
        <v>1201</v>
      </c>
      <c r="D138" s="221" t="s">
        <v>737</v>
      </c>
      <c r="E138" s="203">
        <v>7</v>
      </c>
      <c r="F138" s="196">
        <f>CPUE!H244</f>
        <v>47.530609999999996</v>
      </c>
      <c r="G138" s="196">
        <f>CPUE!I244</f>
        <v>42.886719999999997</v>
      </c>
      <c r="H138" s="196">
        <f t="shared" si="74"/>
        <v>632.92130999999995</v>
      </c>
      <c r="I138" s="196">
        <f t="shared" si="71"/>
        <v>399.29874415288515</v>
      </c>
      <c r="J138" s="189">
        <f t="shared" si="72"/>
        <v>401.64472591521104</v>
      </c>
      <c r="K138" s="196">
        <f t="shared" si="75"/>
        <v>800.94347006809619</v>
      </c>
      <c r="L138" s="709">
        <f t="shared" ref="L138:L201" si="76">K138/$K$436</f>
        <v>2.9244478440649125E-4</v>
      </c>
      <c r="M138" s="190"/>
      <c r="N138" s="190"/>
      <c r="O138" s="190"/>
    </row>
    <row r="139" spans="1:15" s="191" customFormat="1">
      <c r="A139" s="710" t="s">
        <v>1348</v>
      </c>
      <c r="B139" s="194" t="s">
        <v>838</v>
      </c>
      <c r="C139" s="199" t="s">
        <v>1202</v>
      </c>
      <c r="D139" s="221" t="s">
        <v>737</v>
      </c>
      <c r="E139" s="203">
        <v>1</v>
      </c>
      <c r="F139" s="196">
        <f>CPUE!H253</f>
        <v>69.854839999999996</v>
      </c>
      <c r="G139" s="196">
        <f>CPUE!I253</f>
        <v>48.24756</v>
      </c>
      <c r="H139" s="196">
        <f t="shared" si="74"/>
        <v>118.10239999999999</v>
      </c>
      <c r="I139" s="196">
        <f t="shared" si="71"/>
        <v>83.834546336112155</v>
      </c>
      <c r="J139" s="189">
        <f t="shared" si="72"/>
        <v>64.550045236373194</v>
      </c>
      <c r="K139" s="196">
        <f t="shared" si="75"/>
        <v>148.38459157248536</v>
      </c>
      <c r="L139" s="709">
        <f t="shared" si="76"/>
        <v>5.4178979557660119E-5</v>
      </c>
      <c r="M139" s="190"/>
      <c r="N139" s="190"/>
      <c r="O139" s="190"/>
    </row>
    <row r="140" spans="1:15" s="191" customFormat="1">
      <c r="A140" s="710" t="s">
        <v>1349</v>
      </c>
      <c r="B140" s="194" t="s">
        <v>839</v>
      </c>
      <c r="C140" s="199" t="s">
        <v>1203</v>
      </c>
      <c r="D140" s="221" t="s">
        <v>737</v>
      </c>
      <c r="E140" s="203">
        <v>5</v>
      </c>
      <c r="F140" s="196">
        <f>CPUE!H262</f>
        <v>68.264839999999992</v>
      </c>
      <c r="G140" s="196">
        <f>CPUE!I262</f>
        <v>48.24756</v>
      </c>
      <c r="H140" s="196">
        <f t="shared" si="74"/>
        <v>582.5619999999999</v>
      </c>
      <c r="I140" s="196">
        <f t="shared" si="71"/>
        <v>409.63173719296202</v>
      </c>
      <c r="J140" s="189">
        <f t="shared" si="72"/>
        <v>322.75022618186597</v>
      </c>
      <c r="K140" s="196">
        <f t="shared" si="75"/>
        <v>732.38196337482805</v>
      </c>
      <c r="L140" s="709">
        <f t="shared" si="76"/>
        <v>2.6741123860357424E-4</v>
      </c>
      <c r="M140" s="190"/>
      <c r="N140" s="190"/>
      <c r="O140" s="190"/>
    </row>
    <row r="141" spans="1:15" s="191" customFormat="1">
      <c r="A141" s="710" t="s">
        <v>1350</v>
      </c>
      <c r="B141" s="194" t="s">
        <v>840</v>
      </c>
      <c r="C141" s="199" t="s">
        <v>1204</v>
      </c>
      <c r="D141" s="221" t="s">
        <v>737</v>
      </c>
      <c r="E141" s="203">
        <v>2</v>
      </c>
      <c r="F141" s="196">
        <f>CPUE!H272</f>
        <v>370.61968000000002</v>
      </c>
      <c r="G141" s="196">
        <f>CPUE!I272</f>
        <v>54.462380000000003</v>
      </c>
      <c r="H141" s="196">
        <f t="shared" si="74"/>
        <v>850.16412000000003</v>
      </c>
      <c r="I141" s="196">
        <f t="shared" si="71"/>
        <v>889.57995569197669</v>
      </c>
      <c r="J141" s="189">
        <f t="shared" si="72"/>
        <v>145.72961172256367</v>
      </c>
      <c r="K141" s="196">
        <f t="shared" si="75"/>
        <v>1035.3095674145404</v>
      </c>
      <c r="L141" s="709">
        <f t="shared" si="76"/>
        <v>3.7801779345398928E-4</v>
      </c>
      <c r="M141" s="190"/>
      <c r="N141" s="190"/>
      <c r="O141" s="190"/>
    </row>
    <row r="142" spans="1:15" s="193" customFormat="1">
      <c r="A142" s="710" t="s">
        <v>1155</v>
      </c>
      <c r="B142" s="194" t="s">
        <v>841</v>
      </c>
      <c r="C142" s="199" t="s">
        <v>1512</v>
      </c>
      <c r="D142" s="221" t="s">
        <v>737</v>
      </c>
      <c r="E142" s="203">
        <v>26</v>
      </c>
      <c r="F142" s="196">
        <f>SUM('CPU SINAPI ND OBRA'!K453:K454)</f>
        <v>111.92189</v>
      </c>
      <c r="G142" s="196">
        <f>SUM('CPU SINAPI ND OBRA'!K455:K457)</f>
        <v>36.165120000000002</v>
      </c>
      <c r="H142" s="196">
        <f t="shared" si="74"/>
        <v>3850.2622600000004</v>
      </c>
      <c r="I142" s="196">
        <f t="shared" si="71"/>
        <v>3492.3269841286078</v>
      </c>
      <c r="J142" s="189">
        <f t="shared" si="72"/>
        <v>1258.011046184522</v>
      </c>
      <c r="K142" s="196">
        <f t="shared" si="75"/>
        <v>4750.3380303131298</v>
      </c>
      <c r="L142" s="709">
        <f t="shared" si="76"/>
        <v>1.7344689519907927E-3</v>
      </c>
      <c r="M142" s="192"/>
      <c r="N142" s="192"/>
      <c r="O142" s="192"/>
    </row>
    <row r="143" spans="1:15" s="193" customFormat="1">
      <c r="A143" s="710" t="s">
        <v>1156</v>
      </c>
      <c r="B143" s="194" t="s">
        <v>842</v>
      </c>
      <c r="C143" s="199" t="s">
        <v>1513</v>
      </c>
      <c r="D143" s="221" t="s">
        <v>737</v>
      </c>
      <c r="E143" s="203">
        <v>21</v>
      </c>
      <c r="F143" s="196">
        <f>SUM('CPU SINAPI ND OBRA'!K461:K462)</f>
        <v>145.63468</v>
      </c>
      <c r="G143" s="196">
        <f>SUM('CPU SINAPI ND OBRA'!K463:K465)</f>
        <v>45.206400000000002</v>
      </c>
      <c r="H143" s="196">
        <f t="shared" si="74"/>
        <v>4007.6626799999999</v>
      </c>
      <c r="I143" s="196">
        <f t="shared" si="71"/>
        <v>3670.3765107858267</v>
      </c>
      <c r="J143" s="189">
        <f t="shared" si="72"/>
        <v>1270.1073062439887</v>
      </c>
      <c r="K143" s="196">
        <f t="shared" si="75"/>
        <v>4940.4838170298153</v>
      </c>
      <c r="L143" s="709">
        <f t="shared" si="76"/>
        <v>1.8038960035621553E-3</v>
      </c>
      <c r="M143" s="192"/>
      <c r="N143" s="192"/>
      <c r="O143" s="192"/>
    </row>
    <row r="144" spans="1:15" s="193" customFormat="1">
      <c r="A144" s="710" t="s">
        <v>1153</v>
      </c>
      <c r="B144" s="194" t="s">
        <v>843</v>
      </c>
      <c r="C144" s="199" t="s">
        <v>1514</v>
      </c>
      <c r="D144" s="221" t="s">
        <v>737</v>
      </c>
      <c r="E144" s="203">
        <v>23</v>
      </c>
      <c r="F144" s="196">
        <f>SUM('CPU SINAPI ND OBRA'!K469:K470)</f>
        <v>238.61922999999999</v>
      </c>
      <c r="G144" s="196">
        <f>SUM('CPU SINAPI ND OBRA'!K471:K473)</f>
        <v>96.251959999999997</v>
      </c>
      <c r="H144" s="196">
        <f t="shared" si="74"/>
        <v>7702.0373699999991</v>
      </c>
      <c r="I144" s="196">
        <f t="shared" si="71"/>
        <v>6586.5772874838067</v>
      </c>
      <c r="J144" s="189">
        <f t="shared" si="72"/>
        <v>2961.8196766439673</v>
      </c>
      <c r="K144" s="196">
        <f t="shared" si="75"/>
        <v>9548.3969641277745</v>
      </c>
      <c r="L144" s="709">
        <f t="shared" si="76"/>
        <v>3.4863620167407505E-3</v>
      </c>
      <c r="M144" s="192"/>
      <c r="N144" s="192"/>
      <c r="O144" s="192"/>
    </row>
    <row r="145" spans="1:15" s="193" customFormat="1">
      <c r="A145" s="710" t="s">
        <v>1154</v>
      </c>
      <c r="B145" s="194" t="s">
        <v>844</v>
      </c>
      <c r="C145" s="199" t="s">
        <v>1515</v>
      </c>
      <c r="D145" s="221" t="s">
        <v>737</v>
      </c>
      <c r="E145" s="203">
        <v>23</v>
      </c>
      <c r="F145" s="196">
        <f>SUM('CPU SINAPI ND OBRA'!K477:K478)</f>
        <v>465.26596999999998</v>
      </c>
      <c r="G145" s="196">
        <f>SUM('CPU SINAPI ND OBRA'!K479:K481)</f>
        <v>106.51757999999998</v>
      </c>
      <c r="H145" s="196">
        <f t="shared" si="74"/>
        <v>13151.021650000001</v>
      </c>
      <c r="I145" s="196">
        <f t="shared" si="71"/>
        <v>12842.679404510365</v>
      </c>
      <c r="J145" s="189">
        <f t="shared" si="72"/>
        <v>3277.7084679885779</v>
      </c>
      <c r="K145" s="196">
        <f t="shared" si="75"/>
        <v>16120.387872498943</v>
      </c>
      <c r="L145" s="709">
        <f t="shared" si="76"/>
        <v>5.8859626579153687E-3</v>
      </c>
      <c r="M145" s="192"/>
      <c r="N145" s="192"/>
      <c r="O145" s="192"/>
    </row>
    <row r="146" spans="1:15" s="191" customFormat="1">
      <c r="A146" s="710" t="s">
        <v>1075</v>
      </c>
      <c r="B146" s="194" t="s">
        <v>845</v>
      </c>
      <c r="C146" s="199" t="s">
        <v>1516</v>
      </c>
      <c r="D146" s="221" t="s">
        <v>737</v>
      </c>
      <c r="E146" s="203">
        <v>2</v>
      </c>
      <c r="F146" s="196">
        <f>CPUE!H281</f>
        <v>1095.6676199999999</v>
      </c>
      <c r="G146" s="196">
        <f>CPUE!I281</f>
        <v>74.760410000000007</v>
      </c>
      <c r="H146" s="196">
        <f t="shared" si="74"/>
        <v>2340.8560600000001</v>
      </c>
      <c r="I146" s="196">
        <f t="shared" si="71"/>
        <v>2629.8764082164594</v>
      </c>
      <c r="J146" s="189">
        <f t="shared" si="72"/>
        <v>200.04277303929183</v>
      </c>
      <c r="K146" s="196">
        <f t="shared" si="75"/>
        <v>2829.919181255751</v>
      </c>
      <c r="L146" s="709">
        <f t="shared" si="76"/>
        <v>1.033275300664815E-3</v>
      </c>
      <c r="M146" s="190"/>
      <c r="N146" s="190"/>
      <c r="O146" s="190"/>
    </row>
    <row r="147" spans="1:15" s="191" customFormat="1" ht="42">
      <c r="A147" s="710" t="s">
        <v>1351</v>
      </c>
      <c r="B147" s="194" t="s">
        <v>846</v>
      </c>
      <c r="C147" s="762" t="s">
        <v>854</v>
      </c>
      <c r="D147" s="221" t="s">
        <v>737</v>
      </c>
      <c r="E147" s="203">
        <v>60</v>
      </c>
      <c r="F147" s="196">
        <f>CPUE!H295</f>
        <v>2.12</v>
      </c>
      <c r="G147" s="196">
        <f>CPUE!I295</f>
        <v>0.71940000000000004</v>
      </c>
      <c r="H147" s="196">
        <f t="shared" si="74"/>
        <v>170.36400000000003</v>
      </c>
      <c r="I147" s="196">
        <f t="shared" si="71"/>
        <v>152.65591180157978</v>
      </c>
      <c r="J147" s="189">
        <f t="shared" si="72"/>
        <v>57.748788800569663</v>
      </c>
      <c r="K147" s="196">
        <f t="shared" si="75"/>
        <v>210.40470060214943</v>
      </c>
      <c r="L147" s="709">
        <f t="shared" si="76"/>
        <v>7.6824095089353189E-5</v>
      </c>
      <c r="M147" s="190"/>
      <c r="N147" s="190"/>
      <c r="O147" s="190"/>
    </row>
    <row r="148" spans="1:15" s="191" customFormat="1" ht="42">
      <c r="A148" s="710" t="s">
        <v>1352</v>
      </c>
      <c r="B148" s="194" t="s">
        <v>847</v>
      </c>
      <c r="C148" s="762" t="s">
        <v>855</v>
      </c>
      <c r="D148" s="221" t="s">
        <v>737</v>
      </c>
      <c r="E148" s="203">
        <v>20</v>
      </c>
      <c r="F148" s="196">
        <f>CPUE!H302</f>
        <v>1.82</v>
      </c>
      <c r="G148" s="196">
        <f>CPUE!I302</f>
        <v>0.71940000000000004</v>
      </c>
      <c r="H148" s="196">
        <f t="shared" si="74"/>
        <v>50.788000000000004</v>
      </c>
      <c r="I148" s="196">
        <f t="shared" si="71"/>
        <v>43.684553377181629</v>
      </c>
      <c r="J148" s="189">
        <f t="shared" si="72"/>
        <v>19.249596266856553</v>
      </c>
      <c r="K148" s="196">
        <f t="shared" si="75"/>
        <v>62.934149644038186</v>
      </c>
      <c r="L148" s="709">
        <f t="shared" si="76"/>
        <v>2.297885495326135E-5</v>
      </c>
      <c r="M148" s="190"/>
      <c r="N148" s="190"/>
      <c r="O148" s="190"/>
    </row>
    <row r="149" spans="1:15" s="191" customFormat="1" ht="42">
      <c r="A149" s="710" t="s">
        <v>1353</v>
      </c>
      <c r="B149" s="194" t="s">
        <v>848</v>
      </c>
      <c r="C149" s="762" t="s">
        <v>856</v>
      </c>
      <c r="D149" s="221" t="s">
        <v>737</v>
      </c>
      <c r="E149" s="203">
        <v>20</v>
      </c>
      <c r="F149" s="196">
        <f>CPUE!H309</f>
        <v>2.5499999999999998</v>
      </c>
      <c r="G149" s="196">
        <f>CPUE!I309</f>
        <v>0.71940000000000004</v>
      </c>
      <c r="H149" s="196">
        <f t="shared" si="74"/>
        <v>65.388000000000005</v>
      </c>
      <c r="I149" s="196">
        <f t="shared" si="71"/>
        <v>61.206379731765473</v>
      </c>
      <c r="J149" s="189">
        <f t="shared" si="72"/>
        <v>19.249596266856553</v>
      </c>
      <c r="K149" s="196">
        <f t="shared" si="75"/>
        <v>80.455975998622023</v>
      </c>
      <c r="L149" s="709">
        <f t="shared" si="76"/>
        <v>2.9376518361689653E-5</v>
      </c>
      <c r="M149" s="190"/>
      <c r="N149" s="190"/>
      <c r="O149" s="190"/>
    </row>
    <row r="150" spans="1:15" s="191" customFormat="1" ht="42">
      <c r="A150" s="710" t="s">
        <v>1354</v>
      </c>
      <c r="B150" s="194" t="s">
        <v>849</v>
      </c>
      <c r="C150" s="762" t="s">
        <v>857</v>
      </c>
      <c r="D150" s="221" t="s">
        <v>737</v>
      </c>
      <c r="E150" s="203">
        <v>14</v>
      </c>
      <c r="F150" s="196">
        <f>CPUE!H316</f>
        <v>3</v>
      </c>
      <c r="G150" s="196">
        <f>CPUE!I316</f>
        <v>0.71940000000000004</v>
      </c>
      <c r="H150" s="196">
        <f t="shared" si="74"/>
        <v>52.071600000000004</v>
      </c>
      <c r="I150" s="196">
        <f t="shared" si="71"/>
        <v>50.405253896748036</v>
      </c>
      <c r="J150" s="189">
        <f t="shared" si="72"/>
        <v>13.474717386799588</v>
      </c>
      <c r="K150" s="196">
        <f t="shared" si="75"/>
        <v>63.879971283547626</v>
      </c>
      <c r="L150" s="709">
        <f t="shared" si="76"/>
        <v>2.3324198433531958E-5</v>
      </c>
      <c r="M150" s="190"/>
      <c r="N150" s="190"/>
      <c r="O150" s="190"/>
    </row>
    <row r="151" spans="1:15" s="191" customFormat="1" ht="42">
      <c r="A151" s="710" t="s">
        <v>1355</v>
      </c>
      <c r="B151" s="194" t="s">
        <v>850</v>
      </c>
      <c r="C151" s="762" t="s">
        <v>858</v>
      </c>
      <c r="D151" s="221" t="s">
        <v>737</v>
      </c>
      <c r="E151" s="203">
        <v>3</v>
      </c>
      <c r="F151" s="196">
        <f>CPUE!H323</f>
        <v>4.07</v>
      </c>
      <c r="G151" s="196">
        <f>CPUE!I323</f>
        <v>0.71940000000000004</v>
      </c>
      <c r="H151" s="196">
        <f t="shared" si="74"/>
        <v>14.368200000000002</v>
      </c>
      <c r="I151" s="196">
        <f t="shared" si="71"/>
        <v>14.653527382840323</v>
      </c>
      <c r="J151" s="189">
        <f t="shared" si="72"/>
        <v>2.8874394400284831</v>
      </c>
      <c r="K151" s="196">
        <f t="shared" si="75"/>
        <v>17.540966822868807</v>
      </c>
      <c r="L151" s="709">
        <f t="shared" si="76"/>
        <v>6.4046520790776308E-6</v>
      </c>
      <c r="M151" s="190"/>
      <c r="N151" s="190"/>
      <c r="O151" s="190"/>
    </row>
    <row r="152" spans="1:15" s="191" customFormat="1">
      <c r="A152" s="710" t="s">
        <v>2352</v>
      </c>
      <c r="B152" s="194" t="s">
        <v>851</v>
      </c>
      <c r="C152" s="194" t="s">
        <v>859</v>
      </c>
      <c r="D152" s="210" t="s">
        <v>13</v>
      </c>
      <c r="E152" s="203">
        <v>71</v>
      </c>
      <c r="F152" s="196">
        <f>CPUE!H1160</f>
        <v>8.3000000000000007</v>
      </c>
      <c r="G152" s="196">
        <f>CPUE!I1160</f>
        <v>2.1568000000000001</v>
      </c>
      <c r="H152" s="196">
        <f t="shared" si="74"/>
        <v>742.43280000000004</v>
      </c>
      <c r="I152" s="196">
        <f t="shared" si="71"/>
        <v>707.23371717508621</v>
      </c>
      <c r="J152" s="189">
        <f t="shared" si="72"/>
        <v>204.87521373459072</v>
      </c>
      <c r="K152" s="196">
        <f t="shared" si="75"/>
        <v>912.10893090967693</v>
      </c>
      <c r="L152" s="709">
        <f t="shared" si="76"/>
        <v>3.3303411492004219E-4</v>
      </c>
      <c r="M152" s="190"/>
      <c r="N152" s="190"/>
      <c r="O152" s="190"/>
    </row>
    <row r="153" spans="1:15" s="191" customFormat="1">
      <c r="A153" s="710" t="s">
        <v>2350</v>
      </c>
      <c r="B153" s="194" t="s">
        <v>852</v>
      </c>
      <c r="C153" s="194" t="s">
        <v>860</v>
      </c>
      <c r="D153" s="221" t="s">
        <v>737</v>
      </c>
      <c r="E153" s="203">
        <v>117</v>
      </c>
      <c r="F153" s="196">
        <f>CPUE!H1148</f>
        <v>2.35</v>
      </c>
      <c r="G153" s="196">
        <f>CPUE!I1148</f>
        <v>1.6175999999999999</v>
      </c>
      <c r="H153" s="196">
        <f t="shared" si="74"/>
        <v>464.20920000000001</v>
      </c>
      <c r="I153" s="196">
        <f t="shared" si="71"/>
        <v>329.97439425978268</v>
      </c>
      <c r="J153" s="189">
        <f t="shared" si="72"/>
        <v>253.20845077761035</v>
      </c>
      <c r="K153" s="196">
        <f t="shared" si="75"/>
        <v>583.18284503739301</v>
      </c>
      <c r="L153" s="709">
        <f t="shared" si="76"/>
        <v>2.1293485465587796E-4</v>
      </c>
      <c r="M153" s="190"/>
      <c r="N153" s="190"/>
      <c r="O153" s="190"/>
    </row>
    <row r="154" spans="1:15" s="191" customFormat="1" ht="21.75" thickBot="1">
      <c r="A154" s="724" t="s">
        <v>2351</v>
      </c>
      <c r="B154" s="711" t="s">
        <v>853</v>
      </c>
      <c r="C154" s="711" t="s">
        <v>861</v>
      </c>
      <c r="D154" s="712" t="s">
        <v>737</v>
      </c>
      <c r="E154" s="763">
        <v>117</v>
      </c>
      <c r="F154" s="714">
        <f>CPUE!H1154</f>
        <v>1.99</v>
      </c>
      <c r="G154" s="714">
        <f>CPUE!I1154</f>
        <v>0.53920000000000001</v>
      </c>
      <c r="H154" s="714">
        <f t="shared" si="74"/>
        <v>295.91640000000001</v>
      </c>
      <c r="I154" s="714">
        <f t="shared" si="71"/>
        <v>279.4251253519011</v>
      </c>
      <c r="J154" s="715">
        <f t="shared" si="72"/>
        <v>84.402816925870127</v>
      </c>
      <c r="K154" s="714">
        <f t="shared" si="75"/>
        <v>363.82794227777123</v>
      </c>
      <c r="L154" s="716">
        <f t="shared" si="76"/>
        <v>1.3284281365254664E-4</v>
      </c>
      <c r="M154" s="190"/>
      <c r="N154" s="190"/>
      <c r="O154" s="190"/>
    </row>
    <row r="155" spans="1:15" ht="21.75" thickBot="1">
      <c r="A155" s="924" t="s">
        <v>862</v>
      </c>
      <c r="B155" s="925"/>
      <c r="C155" s="926" t="s">
        <v>135</v>
      </c>
      <c r="D155" s="927"/>
      <c r="E155" s="927"/>
      <c r="F155" s="927"/>
      <c r="G155" s="925"/>
      <c r="H155" s="833">
        <f>SUM(H156:H171)</f>
        <v>52855.338760000006</v>
      </c>
      <c r="I155" s="833">
        <f>SUM(I156:I171)</f>
        <v>47641.805275883453</v>
      </c>
      <c r="J155" s="833">
        <f>SUM(J156:J171)</f>
        <v>17603.951887623087</v>
      </c>
      <c r="K155" s="833">
        <f>SUM(K156:K171)</f>
        <v>65245.757163506532</v>
      </c>
      <c r="L155" s="830">
        <f t="shared" si="76"/>
        <v>2.3822881514344207E-2</v>
      </c>
      <c r="M155" s="190"/>
      <c r="N155" s="190"/>
      <c r="O155" s="190"/>
    </row>
    <row r="156" spans="1:15" s="191" customFormat="1">
      <c r="A156" s="764" t="s">
        <v>2179</v>
      </c>
      <c r="B156" s="718" t="s">
        <v>863</v>
      </c>
      <c r="C156" s="718" t="s">
        <v>1120</v>
      </c>
      <c r="D156" s="765" t="s">
        <v>13</v>
      </c>
      <c r="E156" s="761">
        <v>295</v>
      </c>
      <c r="F156" s="766">
        <f>SUM('CPU SINAPI ND OBRA'!K1549:K1550)</f>
        <v>22.721343000000001</v>
      </c>
      <c r="G156" s="766">
        <f>SUM('CPU SINAPI ND OBRA'!K1547:K1548)</f>
        <v>6.2587800000000007</v>
      </c>
      <c r="H156" s="721">
        <f t="shared" ref="H156:H169" si="77">E156*(F156+G156)</f>
        <v>8549.1362850000005</v>
      </c>
      <c r="I156" s="721">
        <f t="shared" ref="I156:I171" si="78">E156*F156*(1+$G$436)</f>
        <v>8044.1938934066457</v>
      </c>
      <c r="J156" s="722">
        <f t="shared" ref="J156:J171" si="79">E156*G156*(1+$G$436)*(1+$H$7)</f>
        <v>2470.2044409443674</v>
      </c>
      <c r="K156" s="721">
        <f t="shared" ref="K156:K169" si="80">I156+J156</f>
        <v>10514.398334351014</v>
      </c>
      <c r="L156" s="723">
        <f t="shared" si="76"/>
        <v>3.8390736287441446E-3</v>
      </c>
      <c r="M156" s="190"/>
      <c r="N156" s="190"/>
      <c r="O156" s="190"/>
    </row>
    <row r="157" spans="1:15" s="193" customFormat="1">
      <c r="A157" s="710" t="s">
        <v>2429</v>
      </c>
      <c r="B157" s="194" t="s">
        <v>864</v>
      </c>
      <c r="C157" s="194" t="s">
        <v>876</v>
      </c>
      <c r="D157" s="221" t="s">
        <v>737</v>
      </c>
      <c r="E157" s="203">
        <v>197</v>
      </c>
      <c r="F157" s="204">
        <f>CPUE!H1682</f>
        <v>1.5</v>
      </c>
      <c r="G157" s="204">
        <f>CPUE!I1682</f>
        <v>1.0784</v>
      </c>
      <c r="H157" s="196">
        <f t="shared" si="77"/>
        <v>507.94480000000004</v>
      </c>
      <c r="I157" s="196">
        <f t="shared" si="78"/>
        <v>354.63696491640582</v>
      </c>
      <c r="J157" s="189">
        <f t="shared" si="79"/>
        <v>284.22828947686179</v>
      </c>
      <c r="K157" s="196">
        <f t="shared" si="80"/>
        <v>638.86525439326761</v>
      </c>
      <c r="L157" s="709">
        <f t="shared" si="76"/>
        <v>2.3326591522114892E-4</v>
      </c>
      <c r="M157" s="190"/>
      <c r="N157" s="190"/>
      <c r="O157" s="190"/>
    </row>
    <row r="158" spans="1:15" s="191" customFormat="1">
      <c r="A158" s="710" t="s">
        <v>2352</v>
      </c>
      <c r="B158" s="194" t="s">
        <v>865</v>
      </c>
      <c r="C158" s="194" t="s">
        <v>859</v>
      </c>
      <c r="D158" s="210" t="s">
        <v>13</v>
      </c>
      <c r="E158" s="203">
        <v>119</v>
      </c>
      <c r="F158" s="204">
        <f>CPUE!H1160</f>
        <v>8.3000000000000007</v>
      </c>
      <c r="G158" s="204">
        <f>CPUE!I1160</f>
        <v>2.1568000000000001</v>
      </c>
      <c r="H158" s="196">
        <f t="shared" si="77"/>
        <v>1244.3592000000001</v>
      </c>
      <c r="I158" s="196">
        <f t="shared" si="78"/>
        <v>1185.3635541385247</v>
      </c>
      <c r="J158" s="189">
        <f t="shared" si="79"/>
        <v>343.38240048473659</v>
      </c>
      <c r="K158" s="196">
        <f t="shared" si="80"/>
        <v>1528.7459546232612</v>
      </c>
      <c r="L158" s="709">
        <f t="shared" si="76"/>
        <v>5.5818393909133829E-4</v>
      </c>
      <c r="M158" s="190"/>
      <c r="N158" s="190"/>
      <c r="O158" s="190"/>
    </row>
    <row r="159" spans="1:15" s="191" customFormat="1">
      <c r="A159" s="710" t="s">
        <v>2350</v>
      </c>
      <c r="B159" s="194" t="s">
        <v>866</v>
      </c>
      <c r="C159" s="194" t="s">
        <v>860</v>
      </c>
      <c r="D159" s="221" t="s">
        <v>737</v>
      </c>
      <c r="E159" s="203">
        <v>197</v>
      </c>
      <c r="F159" s="204">
        <f>CPUE!H1148</f>
        <v>2.35</v>
      </c>
      <c r="G159" s="204">
        <f>CPUE!I1148</f>
        <v>1.6175999999999999</v>
      </c>
      <c r="H159" s="196">
        <f t="shared" si="77"/>
        <v>781.61720000000003</v>
      </c>
      <c r="I159" s="196">
        <f t="shared" si="78"/>
        <v>555.59791170236917</v>
      </c>
      <c r="J159" s="189">
        <f t="shared" si="79"/>
        <v>426.34243421529266</v>
      </c>
      <c r="K159" s="196">
        <f t="shared" si="80"/>
        <v>981.94034591766183</v>
      </c>
      <c r="L159" s="709">
        <f t="shared" si="76"/>
        <v>3.5853133647186294E-4</v>
      </c>
      <c r="M159" s="190"/>
      <c r="N159" s="190"/>
      <c r="O159" s="190"/>
    </row>
    <row r="160" spans="1:15" s="191" customFormat="1">
      <c r="A160" s="710" t="s">
        <v>2351</v>
      </c>
      <c r="B160" s="194" t="s">
        <v>867</v>
      </c>
      <c r="C160" s="194" t="s">
        <v>861</v>
      </c>
      <c r="D160" s="221" t="s">
        <v>737</v>
      </c>
      <c r="E160" s="203">
        <v>197</v>
      </c>
      <c r="F160" s="204">
        <f>CPUE!H1154</f>
        <v>1.99</v>
      </c>
      <c r="G160" s="204">
        <f>CPUE!I1154</f>
        <v>0.53920000000000001</v>
      </c>
      <c r="H160" s="196">
        <f t="shared" si="77"/>
        <v>498.25239999999997</v>
      </c>
      <c r="I160" s="196">
        <f t="shared" si="78"/>
        <v>470.48504012243171</v>
      </c>
      <c r="J160" s="189">
        <f t="shared" si="79"/>
        <v>142.11414473843089</v>
      </c>
      <c r="K160" s="196">
        <f t="shared" si="80"/>
        <v>612.59918486086258</v>
      </c>
      <c r="L160" s="709">
        <f t="shared" si="76"/>
        <v>2.2367550674830497E-4</v>
      </c>
      <c r="M160" s="190"/>
      <c r="N160" s="190"/>
      <c r="O160" s="190"/>
    </row>
    <row r="161" spans="1:15" s="191" customFormat="1">
      <c r="A161" s="710" t="s">
        <v>788</v>
      </c>
      <c r="B161" s="194" t="s">
        <v>868</v>
      </c>
      <c r="C161" s="194" t="s">
        <v>745</v>
      </c>
      <c r="D161" s="221" t="s">
        <v>737</v>
      </c>
      <c r="E161" s="203">
        <v>145</v>
      </c>
      <c r="F161" s="204">
        <f>SUM('CPU SINAPI ND OBRA'!K1555:K1556)</f>
        <v>22.7</v>
      </c>
      <c r="G161" s="204">
        <f>SUM('CPU SINAPI ND OBRA'!K1553:K1554)</f>
        <v>32.283075000000004</v>
      </c>
      <c r="H161" s="196">
        <f t="shared" si="77"/>
        <v>7972.5458749999998</v>
      </c>
      <c r="I161" s="196">
        <f t="shared" si="78"/>
        <v>3950.2117428844322</v>
      </c>
      <c r="J161" s="189">
        <f t="shared" si="79"/>
        <v>6262.7358354451135</v>
      </c>
      <c r="K161" s="196">
        <f t="shared" si="80"/>
        <v>10212.947578329546</v>
      </c>
      <c r="L161" s="709">
        <f t="shared" si="76"/>
        <v>3.7290063085793682E-3</v>
      </c>
      <c r="M161" s="190"/>
      <c r="N161" s="190"/>
      <c r="O161" s="190"/>
    </row>
    <row r="162" spans="1:15" s="193" customFormat="1">
      <c r="A162" s="710" t="s">
        <v>2430</v>
      </c>
      <c r="B162" s="194" t="s">
        <v>869</v>
      </c>
      <c r="C162" s="194" t="s">
        <v>125</v>
      </c>
      <c r="D162" s="210" t="s">
        <v>13</v>
      </c>
      <c r="E162" s="203">
        <v>25</v>
      </c>
      <c r="F162" s="204">
        <f>CPUE!H1688</f>
        <v>2.5</v>
      </c>
      <c r="G162" s="204">
        <f>CPUE!I1688</f>
        <v>1.6175999999999999</v>
      </c>
      <c r="H162" s="196">
        <f t="shared" si="77"/>
        <v>102.93999999999998</v>
      </c>
      <c r="I162" s="196">
        <f t="shared" si="78"/>
        <v>75.00781829873219</v>
      </c>
      <c r="J162" s="189">
        <f t="shared" si="79"/>
        <v>54.104369824275715</v>
      </c>
      <c r="K162" s="196">
        <f t="shared" si="80"/>
        <v>129.11218812300791</v>
      </c>
      <c r="L162" s="709">
        <f t="shared" si="76"/>
        <v>4.7142136031988866E-5</v>
      </c>
      <c r="M162" s="190"/>
      <c r="N162" s="190"/>
      <c r="O162" s="190"/>
    </row>
    <row r="163" spans="1:15" s="193" customFormat="1">
      <c r="A163" s="710" t="s">
        <v>2431</v>
      </c>
      <c r="B163" s="194" t="s">
        <v>870</v>
      </c>
      <c r="C163" s="194" t="s">
        <v>126</v>
      </c>
      <c r="D163" s="221" t="s">
        <v>737</v>
      </c>
      <c r="E163" s="203">
        <v>105</v>
      </c>
      <c r="F163" s="204">
        <f>CPUE!H1695</f>
        <v>5.5</v>
      </c>
      <c r="G163" s="204">
        <f>CPUE!I1695</f>
        <v>3.4820000000000002</v>
      </c>
      <c r="H163" s="196">
        <f t="shared" si="77"/>
        <v>943.1099999999999</v>
      </c>
      <c r="I163" s="196">
        <f t="shared" si="78"/>
        <v>693.07224108028549</v>
      </c>
      <c r="J163" s="189">
        <f t="shared" si="79"/>
        <v>489.14685092614855</v>
      </c>
      <c r="K163" s="196">
        <f t="shared" si="80"/>
        <v>1182.219092006434</v>
      </c>
      <c r="L163" s="709">
        <f t="shared" si="76"/>
        <v>4.3165818862805037E-4</v>
      </c>
      <c r="M163" s="190"/>
      <c r="N163" s="190"/>
      <c r="O163" s="190"/>
    </row>
    <row r="164" spans="1:15" s="191" customFormat="1">
      <c r="A164" s="710" t="s">
        <v>2432</v>
      </c>
      <c r="B164" s="194" t="s">
        <v>871</v>
      </c>
      <c r="C164" s="194" t="s">
        <v>127</v>
      </c>
      <c r="D164" s="210" t="s">
        <v>13</v>
      </c>
      <c r="E164" s="203">
        <v>295</v>
      </c>
      <c r="F164" s="204">
        <f>CPUE!H1701</f>
        <v>6.3</v>
      </c>
      <c r="G164" s="204">
        <f>CPUE!I1701</f>
        <v>1.7410000000000001</v>
      </c>
      <c r="H164" s="196">
        <f t="shared" si="77"/>
        <v>2372.0950000000003</v>
      </c>
      <c r="I164" s="196">
        <f t="shared" si="78"/>
        <v>2230.4324849311006</v>
      </c>
      <c r="J164" s="189">
        <f t="shared" si="79"/>
        <v>687.13486201530395</v>
      </c>
      <c r="K164" s="196">
        <f t="shared" si="80"/>
        <v>2917.5673469464045</v>
      </c>
      <c r="L164" s="709">
        <f t="shared" si="76"/>
        <v>1.0652778699807848E-3</v>
      </c>
      <c r="M164" s="190"/>
      <c r="N164" s="190"/>
      <c r="O164" s="190"/>
    </row>
    <row r="165" spans="1:15" s="191" customFormat="1" ht="63">
      <c r="A165" s="710" t="s">
        <v>1358</v>
      </c>
      <c r="B165" s="194" t="s">
        <v>872</v>
      </c>
      <c r="C165" s="194" t="s">
        <v>1554</v>
      </c>
      <c r="D165" s="221" t="s">
        <v>737</v>
      </c>
      <c r="E165" s="203">
        <v>1</v>
      </c>
      <c r="F165" s="204">
        <f>CPUE!H369</f>
        <v>8840.4</v>
      </c>
      <c r="G165" s="204">
        <f>CPUE!I369</f>
        <v>191.83</v>
      </c>
      <c r="H165" s="196">
        <f t="shared" si="77"/>
        <v>9032.23</v>
      </c>
      <c r="I165" s="196">
        <f t="shared" si="78"/>
        <v>10609.585870209794</v>
      </c>
      <c r="J165" s="189">
        <f t="shared" si="79"/>
        <v>256.64790463379848</v>
      </c>
      <c r="K165" s="196">
        <f t="shared" si="80"/>
        <v>10866.233774843593</v>
      </c>
      <c r="L165" s="709">
        <f t="shared" si="76"/>
        <v>3.9675376756920112E-3</v>
      </c>
      <c r="M165" s="190"/>
      <c r="N165" s="190"/>
      <c r="O165" s="190"/>
    </row>
    <row r="166" spans="1:15" s="193" customFormat="1">
      <c r="A166" s="710" t="s">
        <v>1359</v>
      </c>
      <c r="B166" s="194" t="s">
        <v>873</v>
      </c>
      <c r="C166" s="194" t="s">
        <v>1557</v>
      </c>
      <c r="D166" s="221" t="s">
        <v>737</v>
      </c>
      <c r="E166" s="203">
        <v>59</v>
      </c>
      <c r="F166" s="204">
        <f>CPUE!H376</f>
        <v>187.99</v>
      </c>
      <c r="G166" s="204">
        <f>CPUE!I376</f>
        <v>59.940000000000005</v>
      </c>
      <c r="H166" s="196">
        <f t="shared" si="77"/>
        <v>14627.87</v>
      </c>
      <c r="I166" s="196">
        <f t="shared" si="78"/>
        <v>13311.079455307859</v>
      </c>
      <c r="J166" s="189">
        <f t="shared" si="79"/>
        <v>4731.4030590691928</v>
      </c>
      <c r="K166" s="196">
        <f t="shared" si="80"/>
        <v>18042.48251437705</v>
      </c>
      <c r="L166" s="709">
        <f t="shared" si="76"/>
        <v>6.5877681837224833E-3</v>
      </c>
      <c r="M166" s="190"/>
      <c r="N166" s="190"/>
      <c r="O166" s="190"/>
    </row>
    <row r="167" spans="1:15" s="193" customFormat="1" ht="42">
      <c r="A167" s="710" t="s">
        <v>1068</v>
      </c>
      <c r="B167" s="194" t="s">
        <v>874</v>
      </c>
      <c r="C167" s="194" t="s">
        <v>1555</v>
      </c>
      <c r="D167" s="221" t="s">
        <v>737</v>
      </c>
      <c r="E167" s="203">
        <v>4</v>
      </c>
      <c r="F167" s="204">
        <f>CPUE!H384</f>
        <v>467.99</v>
      </c>
      <c r="G167" s="204">
        <f>CPUE!I384</f>
        <v>89.914999999999992</v>
      </c>
      <c r="H167" s="196">
        <f t="shared" ref="H167" si="81">E167*(F167+G167)</f>
        <v>2231.62</v>
      </c>
      <c r="I167" s="196">
        <f t="shared" si="78"/>
        <v>2246.5861686799158</v>
      </c>
      <c r="J167" s="189">
        <f t="shared" si="79"/>
        <v>481.18639097425825</v>
      </c>
      <c r="K167" s="196">
        <f t="shared" ref="K167" si="82">I167+J167</f>
        <v>2727.7725596541741</v>
      </c>
      <c r="L167" s="709">
        <f t="shared" si="76"/>
        <v>9.9597897720570135E-4</v>
      </c>
      <c r="M167" s="190"/>
      <c r="N167" s="190"/>
      <c r="O167" s="190"/>
    </row>
    <row r="168" spans="1:15" s="193" customFormat="1">
      <c r="A168" s="710" t="s">
        <v>1360</v>
      </c>
      <c r="B168" s="194" t="s">
        <v>875</v>
      </c>
      <c r="C168" s="194" t="s">
        <v>1556</v>
      </c>
      <c r="D168" s="221" t="s">
        <v>737</v>
      </c>
      <c r="E168" s="203">
        <v>4</v>
      </c>
      <c r="F168" s="204">
        <f>CPUE!H391</f>
        <v>467.4</v>
      </c>
      <c r="G168" s="204">
        <f>CPUE!I391</f>
        <v>89.914999999999992</v>
      </c>
      <c r="H168" s="196">
        <f t="shared" si="77"/>
        <v>2229.2599999999998</v>
      </c>
      <c r="I168" s="196">
        <f t="shared" si="78"/>
        <v>2243.7538734609552</v>
      </c>
      <c r="J168" s="189">
        <f t="shared" si="79"/>
        <v>481.18639097425825</v>
      </c>
      <c r="K168" s="196">
        <f t="shared" si="80"/>
        <v>2724.9402644352135</v>
      </c>
      <c r="L168" s="709">
        <f t="shared" si="76"/>
        <v>9.9494483435338E-4</v>
      </c>
      <c r="M168" s="190"/>
      <c r="N168" s="190"/>
      <c r="O168" s="190"/>
    </row>
    <row r="169" spans="1:15" s="193" customFormat="1">
      <c r="A169" s="710" t="s">
        <v>1086</v>
      </c>
      <c r="B169" s="194" t="s">
        <v>1561</v>
      </c>
      <c r="C169" s="199" t="s">
        <v>1264</v>
      </c>
      <c r="D169" s="221" t="s">
        <v>737</v>
      </c>
      <c r="E169" s="203">
        <v>2</v>
      </c>
      <c r="F169" s="196">
        <f>CPUE!H288</f>
        <v>91.63</v>
      </c>
      <c r="G169" s="196">
        <f>CPUE!I288</f>
        <v>65.935000000000016</v>
      </c>
      <c r="H169" s="196">
        <f t="shared" si="77"/>
        <v>315.13</v>
      </c>
      <c r="I169" s="196">
        <f t="shared" si="78"/>
        <v>219.93492450281059</v>
      </c>
      <c r="J169" s="189">
        <f t="shared" si="79"/>
        <v>176.42787459760734</v>
      </c>
      <c r="K169" s="196">
        <f t="shared" si="80"/>
        <v>396.36279910041793</v>
      </c>
      <c r="L169" s="709">
        <f t="shared" si="76"/>
        <v>1.447221154319669E-4</v>
      </c>
      <c r="M169" s="190"/>
      <c r="N169" s="190"/>
      <c r="O169" s="190"/>
    </row>
    <row r="170" spans="1:15" s="193" customFormat="1">
      <c r="A170" s="710" t="s">
        <v>1563</v>
      </c>
      <c r="B170" s="194" t="s">
        <v>1562</v>
      </c>
      <c r="C170" s="198" t="s">
        <v>1559</v>
      </c>
      <c r="D170" s="221" t="s">
        <v>737</v>
      </c>
      <c r="E170" s="203">
        <v>5</v>
      </c>
      <c r="F170" s="204">
        <f>CPUE!H876</f>
        <v>194.93</v>
      </c>
      <c r="G170" s="204">
        <f>CPUE!I876</f>
        <v>39.578000000000003</v>
      </c>
      <c r="H170" s="196">
        <f t="shared" ref="H170:H171" si="83">E170*(F170+G170)</f>
        <v>1172.54</v>
      </c>
      <c r="I170" s="196">
        <f t="shared" si="78"/>
        <v>1169.7019216777494</v>
      </c>
      <c r="J170" s="189">
        <f t="shared" si="79"/>
        <v>264.75553275286654</v>
      </c>
      <c r="K170" s="196">
        <f t="shared" ref="K170:K171" si="84">I170+J170</f>
        <v>1434.4574544306161</v>
      </c>
      <c r="L170" s="709">
        <f t="shared" si="76"/>
        <v>5.2375681515398327E-4</v>
      </c>
      <c r="M170" s="190"/>
      <c r="N170" s="190"/>
      <c r="O170" s="190"/>
    </row>
    <row r="171" spans="1:15" s="193" customFormat="1" ht="42.75" thickBot="1">
      <c r="A171" s="724" t="s">
        <v>1564</v>
      </c>
      <c r="B171" s="711" t="s">
        <v>1578</v>
      </c>
      <c r="C171" s="767" t="s">
        <v>1560</v>
      </c>
      <c r="D171" s="712" t="s">
        <v>737</v>
      </c>
      <c r="E171" s="763">
        <v>1</v>
      </c>
      <c r="F171" s="768">
        <f>CPUE!H882</f>
        <v>235.11</v>
      </c>
      <c r="G171" s="768">
        <f>CPUE!I882</f>
        <v>39.578000000000003</v>
      </c>
      <c r="H171" s="714">
        <f t="shared" si="83"/>
        <v>274.68799999999999</v>
      </c>
      <c r="I171" s="714">
        <f t="shared" si="78"/>
        <v>282.16141056343884</v>
      </c>
      <c r="J171" s="715">
        <f t="shared" si="79"/>
        <v>52.951106550573307</v>
      </c>
      <c r="K171" s="714">
        <f t="shared" si="84"/>
        <v>335.11251711401212</v>
      </c>
      <c r="L171" s="716">
        <f t="shared" si="76"/>
        <v>1.2235808328769042E-4</v>
      </c>
      <c r="M171" s="190"/>
      <c r="N171" s="190"/>
      <c r="O171" s="190"/>
    </row>
    <row r="172" spans="1:15" s="197" customFormat="1" ht="21.75" thickBot="1">
      <c r="A172" s="924">
        <v>4</v>
      </c>
      <c r="B172" s="925"/>
      <c r="C172" s="926" t="s">
        <v>7</v>
      </c>
      <c r="D172" s="927"/>
      <c r="E172" s="927"/>
      <c r="F172" s="927"/>
      <c r="G172" s="925"/>
      <c r="H172" s="833">
        <f>SUM(H173:H211)</f>
        <v>40820.049451000006</v>
      </c>
      <c r="I172" s="833">
        <f>SUM(I173:I211)</f>
        <v>33484.632868477027</v>
      </c>
      <c r="J172" s="834">
        <f>SUM(J173:J211)</f>
        <v>16545.830663939603</v>
      </c>
      <c r="K172" s="833">
        <f>SUM(K173:K211)</f>
        <v>50030.463532416623</v>
      </c>
      <c r="L172" s="830">
        <f t="shared" si="76"/>
        <v>1.8267391730218442E-2</v>
      </c>
      <c r="M172" s="190"/>
      <c r="N172" s="190"/>
      <c r="O172" s="190"/>
    </row>
    <row r="173" spans="1:15" s="193" customFormat="1">
      <c r="A173" s="717" t="s">
        <v>749</v>
      </c>
      <c r="B173" s="718" t="s">
        <v>219</v>
      </c>
      <c r="C173" s="735" t="s">
        <v>129</v>
      </c>
      <c r="D173" s="765" t="s">
        <v>13</v>
      </c>
      <c r="E173" s="761">
        <v>70</v>
      </c>
      <c r="F173" s="769">
        <f>'CPU SINAPI ND OBRA'!K485</f>
        <v>14.048439</v>
      </c>
      <c r="G173" s="769">
        <f>SUM('CPU SINAPI ND OBRA'!K486:K487)</f>
        <v>32.275753000000002</v>
      </c>
      <c r="H173" s="721">
        <f t="shared" ref="H173:H198" si="85">E173*(F173+G173)</f>
        <v>3242.6934400000005</v>
      </c>
      <c r="I173" s="721">
        <f t="shared" ref="I173:I201" si="86">E173*F173*(1+$G$436)</f>
        <v>1180.1918910799618</v>
      </c>
      <c r="J173" s="722">
        <f t="shared" ref="J173:J211" si="87">E173*G173*(1+$G$436)*(1+$H$7)</f>
        <v>3022.7039902776546</v>
      </c>
      <c r="K173" s="721">
        <f t="shared" ref="K173:K198" si="88">I173+J173</f>
        <v>4202.8958813576164</v>
      </c>
      <c r="L173" s="723">
        <f t="shared" si="76"/>
        <v>1.5345839323742273E-3</v>
      </c>
      <c r="M173" s="192"/>
      <c r="N173" s="192"/>
      <c r="O173" s="192"/>
    </row>
    <row r="174" spans="1:15" s="193" customFormat="1">
      <c r="A174" s="710" t="s">
        <v>753</v>
      </c>
      <c r="B174" s="194" t="s">
        <v>221</v>
      </c>
      <c r="C174" s="199" t="s">
        <v>130</v>
      </c>
      <c r="D174" s="221" t="s">
        <v>737</v>
      </c>
      <c r="E174" s="203">
        <v>66</v>
      </c>
      <c r="F174" s="770">
        <f>'CPU SINAPI ND OBRA'!K493</f>
        <v>3.62</v>
      </c>
      <c r="G174" s="770">
        <f>SUM('CPU SINAPI ND OBRA'!K494:K495)</f>
        <v>7.231307000000001</v>
      </c>
      <c r="H174" s="196">
        <f t="shared" si="85"/>
        <v>716.18626200000017</v>
      </c>
      <c r="I174" s="196">
        <f t="shared" si="86"/>
        <v>286.73388716692955</v>
      </c>
      <c r="J174" s="189">
        <f t="shared" si="87"/>
        <v>638.53091849400778</v>
      </c>
      <c r="K174" s="196">
        <f t="shared" si="88"/>
        <v>925.26480566093733</v>
      </c>
      <c r="L174" s="709">
        <f t="shared" si="76"/>
        <v>3.3783765861456042E-4</v>
      </c>
      <c r="M174" s="192"/>
      <c r="N174" s="192"/>
      <c r="O174" s="192"/>
    </row>
    <row r="175" spans="1:15" s="193" customFormat="1">
      <c r="A175" s="710" t="s">
        <v>754</v>
      </c>
      <c r="B175" s="194" t="s">
        <v>224</v>
      </c>
      <c r="C175" s="199" t="s">
        <v>1508</v>
      </c>
      <c r="D175" s="221" t="s">
        <v>737</v>
      </c>
      <c r="E175" s="203">
        <v>32</v>
      </c>
      <c r="F175" s="770">
        <f>'CPU SINAPI ND OBRA'!K500</f>
        <v>4.6399999999999997</v>
      </c>
      <c r="G175" s="770">
        <f>SUM('CPU SINAPI ND OBRA'!K501:K502)</f>
        <v>9.6378580000000014</v>
      </c>
      <c r="H175" s="196">
        <f t="shared" si="85"/>
        <v>456.89145600000006</v>
      </c>
      <c r="I175" s="196">
        <f t="shared" si="86"/>
        <v>178.1945737759321</v>
      </c>
      <c r="J175" s="189">
        <f t="shared" si="87"/>
        <v>412.62135196506773</v>
      </c>
      <c r="K175" s="196">
        <f t="shared" si="88"/>
        <v>590.81592574099977</v>
      </c>
      <c r="L175" s="709">
        <f t="shared" si="76"/>
        <v>2.1572188610584266E-4</v>
      </c>
      <c r="M175" s="192"/>
      <c r="N175" s="192"/>
      <c r="O175" s="192"/>
    </row>
    <row r="176" spans="1:15" s="193" customFormat="1">
      <c r="A176" s="710" t="s">
        <v>1212</v>
      </c>
      <c r="B176" s="194" t="s">
        <v>223</v>
      </c>
      <c r="C176" s="199" t="s">
        <v>1509</v>
      </c>
      <c r="D176" s="221" t="s">
        <v>737</v>
      </c>
      <c r="E176" s="203">
        <v>2</v>
      </c>
      <c r="F176" s="770">
        <f>'CPU SINAPI ND OBRA'!K507</f>
        <v>7.56</v>
      </c>
      <c r="G176" s="770">
        <f>SUM('CPU SINAPI ND OBRA'!K508:K509)</f>
        <v>10.13898</v>
      </c>
      <c r="H176" s="196">
        <f t="shared" ref="H176" si="89">E176*(F176+G176)</f>
        <v>35.397959999999998</v>
      </c>
      <c r="I176" s="196">
        <f t="shared" si="86"/>
        <v>18.145891402829292</v>
      </c>
      <c r="J176" s="189">
        <f t="shared" si="87"/>
        <v>27.129729157316273</v>
      </c>
      <c r="K176" s="196">
        <f t="shared" ref="K176" si="90">I176+J176</f>
        <v>45.275620560145569</v>
      </c>
      <c r="L176" s="709">
        <f t="shared" si="76"/>
        <v>1.6531277909608474E-5</v>
      </c>
      <c r="M176" s="192"/>
      <c r="N176" s="192"/>
      <c r="O176" s="192"/>
    </row>
    <row r="177" spans="1:15" s="193" customFormat="1">
      <c r="A177" s="710" t="s">
        <v>1372</v>
      </c>
      <c r="B177" s="194" t="s">
        <v>222</v>
      </c>
      <c r="C177" s="199" t="s">
        <v>894</v>
      </c>
      <c r="D177" s="221" t="s">
        <v>737</v>
      </c>
      <c r="E177" s="203">
        <v>5</v>
      </c>
      <c r="F177" s="770">
        <f>CPUE!H399</f>
        <v>56.153399999999998</v>
      </c>
      <c r="G177" s="770">
        <f>CPUE!I399</f>
        <v>3.6127400000000005</v>
      </c>
      <c r="H177" s="196">
        <f t="shared" si="85"/>
        <v>298.83069999999998</v>
      </c>
      <c r="I177" s="196">
        <f t="shared" si="86"/>
        <v>336.9555219244823</v>
      </c>
      <c r="J177" s="189">
        <f t="shared" si="87"/>
        <v>24.167287467724272</v>
      </c>
      <c r="K177" s="196">
        <f t="shared" si="88"/>
        <v>361.12280939220659</v>
      </c>
      <c r="L177" s="709">
        <f t="shared" si="76"/>
        <v>1.3185510099481985E-4</v>
      </c>
      <c r="M177" s="190"/>
      <c r="N177" s="190"/>
      <c r="O177" s="190"/>
    </row>
    <row r="178" spans="1:15" s="193" customFormat="1">
      <c r="A178" s="710" t="s">
        <v>755</v>
      </c>
      <c r="B178" s="194" t="s">
        <v>220</v>
      </c>
      <c r="C178" s="771" t="s">
        <v>131</v>
      </c>
      <c r="D178" s="221" t="s">
        <v>737</v>
      </c>
      <c r="E178" s="203">
        <v>10</v>
      </c>
      <c r="F178" s="770">
        <f>'CPU SINAPI ND OBRA'!K514</f>
        <v>21.59</v>
      </c>
      <c r="G178" s="770">
        <f>SUM('CPU SINAPI ND OBRA'!K515:K516)</f>
        <v>7.1788640000000008</v>
      </c>
      <c r="H178" s="196">
        <f t="shared" si="85"/>
        <v>287.68864000000002</v>
      </c>
      <c r="I178" s="196">
        <f t="shared" si="86"/>
        <v>259.10700753114048</v>
      </c>
      <c r="J178" s="189">
        <f t="shared" si="87"/>
        <v>96.04547793624613</v>
      </c>
      <c r="K178" s="196">
        <f t="shared" si="88"/>
        <v>355.15248546738661</v>
      </c>
      <c r="L178" s="709">
        <f t="shared" si="76"/>
        <v>1.29675184236297E-4</v>
      </c>
      <c r="M178" s="192"/>
      <c r="N178" s="192"/>
      <c r="O178" s="192"/>
    </row>
    <row r="179" spans="1:15" s="193" customFormat="1">
      <c r="A179" s="710" t="s">
        <v>1214</v>
      </c>
      <c r="B179" s="194" t="s">
        <v>226</v>
      </c>
      <c r="C179" s="199" t="s">
        <v>895</v>
      </c>
      <c r="D179" s="210" t="s">
        <v>13</v>
      </c>
      <c r="E179" s="203">
        <v>14</v>
      </c>
      <c r="F179" s="770">
        <f>'CPU SINAPI ND OBRA'!K521</f>
        <v>23.488734000000001</v>
      </c>
      <c r="G179" s="770">
        <f>SUM('CPU SINAPI ND OBRA'!K522:K523)</f>
        <v>10.791604000000001</v>
      </c>
      <c r="H179" s="196">
        <f t="shared" ref="H179" si="91">E179*(F179+G179)</f>
        <v>479.92473200000001</v>
      </c>
      <c r="I179" s="196">
        <f t="shared" si="86"/>
        <v>394.65186699439272</v>
      </c>
      <c r="J179" s="189">
        <f t="shared" si="87"/>
        <v>202.13207402037253</v>
      </c>
      <c r="K179" s="196">
        <f t="shared" ref="K179" si="92">I179+J179</f>
        <v>596.78394101476522</v>
      </c>
      <c r="L179" s="709">
        <f t="shared" si="76"/>
        <v>2.179009599172848E-4</v>
      </c>
      <c r="M179" s="192"/>
      <c r="N179" s="192"/>
      <c r="O179" s="192"/>
    </row>
    <row r="180" spans="1:15" s="193" customFormat="1">
      <c r="A180" s="710" t="s">
        <v>1213</v>
      </c>
      <c r="B180" s="194" t="s">
        <v>225</v>
      </c>
      <c r="C180" s="199" t="s">
        <v>896</v>
      </c>
      <c r="D180" s="221" t="s">
        <v>737</v>
      </c>
      <c r="E180" s="203">
        <v>7</v>
      </c>
      <c r="F180" s="770">
        <f>'CPU SINAPI ND OBRA'!K528</f>
        <v>5.55</v>
      </c>
      <c r="G180" s="770">
        <f>SUM('CPU SINAPI ND OBRA'!K529:K530)</f>
        <v>9.6145500000000013</v>
      </c>
      <c r="H180" s="196">
        <f t="shared" ref="H180:H181" si="93">E180*(F180+G180)</f>
        <v>106.15185000000001</v>
      </c>
      <c r="I180" s="196">
        <f t="shared" si="86"/>
        <v>46.624859854491937</v>
      </c>
      <c r="J180" s="189">
        <f t="shared" si="87"/>
        <v>90.042635565230725</v>
      </c>
      <c r="K180" s="196">
        <f t="shared" ref="K180:K181" si="94">I180+J180</f>
        <v>136.66749541972266</v>
      </c>
      <c r="L180" s="709">
        <f t="shared" si="76"/>
        <v>4.9900770437641337E-5</v>
      </c>
      <c r="M180" s="192"/>
      <c r="N180" s="192"/>
      <c r="O180" s="192"/>
    </row>
    <row r="181" spans="1:15" s="193" customFormat="1">
      <c r="A181" s="710" t="s">
        <v>1375</v>
      </c>
      <c r="B181" s="194" t="s">
        <v>227</v>
      </c>
      <c r="C181" s="199" t="s">
        <v>1377</v>
      </c>
      <c r="D181" s="221" t="s">
        <v>737</v>
      </c>
      <c r="E181" s="203">
        <v>3</v>
      </c>
      <c r="F181" s="770">
        <f>CPUE!H406</f>
        <v>85</v>
      </c>
      <c r="G181" s="770">
        <f>CPUE!I406</f>
        <v>5.5356500000000004</v>
      </c>
      <c r="H181" s="196">
        <f t="shared" si="93"/>
        <v>271.60694999999998</v>
      </c>
      <c r="I181" s="196">
        <f t="shared" si="86"/>
        <v>306.03189865882734</v>
      </c>
      <c r="J181" s="189">
        <f t="shared" si="87"/>
        <v>22.218312671940051</v>
      </c>
      <c r="K181" s="196">
        <f t="shared" si="94"/>
        <v>328.2502113307674</v>
      </c>
      <c r="L181" s="709">
        <f t="shared" si="76"/>
        <v>1.1985248131912478E-4</v>
      </c>
      <c r="M181" s="190"/>
      <c r="N181" s="190"/>
      <c r="O181" s="190"/>
    </row>
    <row r="182" spans="1:15" s="193" customFormat="1">
      <c r="A182" s="710" t="s">
        <v>750</v>
      </c>
      <c r="B182" s="194" t="s">
        <v>228</v>
      </c>
      <c r="C182" s="199" t="s">
        <v>112</v>
      </c>
      <c r="D182" s="210" t="s">
        <v>13</v>
      </c>
      <c r="E182" s="203">
        <v>143</v>
      </c>
      <c r="F182" s="770">
        <f>SUM('CPU SINAPI ND OBRA'!K534:K535)</f>
        <v>14.149311000000003</v>
      </c>
      <c r="G182" s="770">
        <f>SUM('CPU SINAPI ND OBRA'!K536:K537)</f>
        <v>8.6414410000000004</v>
      </c>
      <c r="H182" s="196">
        <f t="shared" si="85"/>
        <v>3259.0775360000007</v>
      </c>
      <c r="I182" s="196">
        <f t="shared" si="86"/>
        <v>2428.2748742600988</v>
      </c>
      <c r="J182" s="189">
        <f t="shared" si="87"/>
        <v>1653.2685438686508</v>
      </c>
      <c r="K182" s="196">
        <f t="shared" si="88"/>
        <v>4081.5434181287496</v>
      </c>
      <c r="L182" s="709">
        <f t="shared" si="76"/>
        <v>1.4902750687996915E-3</v>
      </c>
      <c r="M182" s="192"/>
      <c r="N182" s="192"/>
      <c r="O182" s="192"/>
    </row>
    <row r="183" spans="1:15" s="193" customFormat="1" ht="42">
      <c r="A183" s="772" t="s">
        <v>1376</v>
      </c>
      <c r="B183" s="194" t="s">
        <v>229</v>
      </c>
      <c r="C183" s="199" t="s">
        <v>898</v>
      </c>
      <c r="D183" s="210" t="s">
        <v>13</v>
      </c>
      <c r="E183" s="203">
        <v>101</v>
      </c>
      <c r="F183" s="770">
        <f>CPUE!H412</f>
        <v>23.638999999999999</v>
      </c>
      <c r="G183" s="770">
        <f>CPUE!I412</f>
        <v>13.07</v>
      </c>
      <c r="H183" s="196">
        <f t="shared" ref="H183" si="95">E183*(F183+G183)</f>
        <v>3707.6090000000004</v>
      </c>
      <c r="I183" s="196">
        <f t="shared" si="86"/>
        <v>2865.3454638901881</v>
      </c>
      <c r="J183" s="189">
        <f t="shared" si="87"/>
        <v>1766.1116586036508</v>
      </c>
      <c r="K183" s="196">
        <f t="shared" ref="K183" si="96">I183+J183</f>
        <v>4631.4571224938391</v>
      </c>
      <c r="L183" s="709">
        <f t="shared" si="76"/>
        <v>1.6910625160106048E-3</v>
      </c>
      <c r="M183" s="190"/>
      <c r="N183" s="190"/>
      <c r="O183" s="190"/>
    </row>
    <row r="184" spans="1:15" s="193" customFormat="1">
      <c r="A184" s="710" t="s">
        <v>751</v>
      </c>
      <c r="B184" s="194" t="s">
        <v>230</v>
      </c>
      <c r="C184" s="199" t="s">
        <v>113</v>
      </c>
      <c r="D184" s="210" t="s">
        <v>13</v>
      </c>
      <c r="E184" s="203">
        <v>13</v>
      </c>
      <c r="F184" s="770">
        <f>SUM('CPU SINAPI ND OBRA'!K541:K544)</f>
        <v>20.294090000000008</v>
      </c>
      <c r="G184" s="770">
        <f>SUM('CPU SINAPI ND OBRA'!K545:K546)</f>
        <v>11.053819000000001</v>
      </c>
      <c r="H184" s="196">
        <f t="shared" si="85"/>
        <v>407.52281700000009</v>
      </c>
      <c r="I184" s="196">
        <f t="shared" si="86"/>
        <v>316.62080637368871</v>
      </c>
      <c r="J184" s="189">
        <f t="shared" si="87"/>
        <v>192.25466975533809</v>
      </c>
      <c r="K184" s="196">
        <f t="shared" si="88"/>
        <v>508.87547612902677</v>
      </c>
      <c r="L184" s="709">
        <f t="shared" si="76"/>
        <v>1.8580334876024563E-4</v>
      </c>
      <c r="M184" s="192"/>
      <c r="N184" s="192"/>
      <c r="O184" s="192"/>
    </row>
    <row r="185" spans="1:15" s="193" customFormat="1">
      <c r="A185" s="710" t="s">
        <v>752</v>
      </c>
      <c r="B185" s="194" t="s">
        <v>231</v>
      </c>
      <c r="C185" s="199" t="s">
        <v>114</v>
      </c>
      <c r="D185" s="210" t="s">
        <v>13</v>
      </c>
      <c r="E185" s="203">
        <v>36</v>
      </c>
      <c r="F185" s="770">
        <f>SUM('CPU SINAPI ND OBRA'!K550:K553)</f>
        <v>49.83491200000001</v>
      </c>
      <c r="G185" s="770">
        <f>SUM('CPU SINAPI ND OBRA'!K554:K555)</f>
        <v>23.447848</v>
      </c>
      <c r="H185" s="196">
        <f t="shared" si="85"/>
        <v>2638.1793600000005</v>
      </c>
      <c r="I185" s="196">
        <f t="shared" si="86"/>
        <v>2153.0926219560824</v>
      </c>
      <c r="J185" s="189">
        <f t="shared" si="87"/>
        <v>1129.3451392659381</v>
      </c>
      <c r="K185" s="196">
        <f t="shared" si="88"/>
        <v>3282.4377612220205</v>
      </c>
      <c r="L185" s="709">
        <f t="shared" si="76"/>
        <v>1.198501316611878E-3</v>
      </c>
      <c r="M185" s="192"/>
      <c r="N185" s="192"/>
      <c r="O185" s="192"/>
    </row>
    <row r="186" spans="1:15" s="193" customFormat="1">
      <c r="A186" s="710" t="s">
        <v>756</v>
      </c>
      <c r="B186" s="194" t="s">
        <v>232</v>
      </c>
      <c r="C186" s="199" t="s">
        <v>115</v>
      </c>
      <c r="D186" s="221" t="s">
        <v>737</v>
      </c>
      <c r="E186" s="203">
        <v>24</v>
      </c>
      <c r="F186" s="770">
        <f>SUM('CPU SINAPI ND OBRA'!K559:K562)</f>
        <v>10.69</v>
      </c>
      <c r="G186" s="770">
        <f>SUM('CPU SINAPI ND OBRA'!K563:K564)</f>
        <v>3.7138289999999996</v>
      </c>
      <c r="H186" s="196">
        <f t="shared" si="85"/>
        <v>345.69189599999993</v>
      </c>
      <c r="I186" s="196">
        <f t="shared" si="86"/>
        <v>307.90409380356374</v>
      </c>
      <c r="J186" s="189">
        <f t="shared" si="87"/>
        <v>119.24888883093176</v>
      </c>
      <c r="K186" s="196">
        <f t="shared" si="88"/>
        <v>427.15298263449552</v>
      </c>
      <c r="L186" s="709">
        <f t="shared" si="76"/>
        <v>1.5596439272363901E-4</v>
      </c>
      <c r="M186" s="192"/>
      <c r="N186" s="192"/>
      <c r="O186" s="192"/>
    </row>
    <row r="187" spans="1:15" s="193" customFormat="1">
      <c r="A187" s="710" t="s">
        <v>757</v>
      </c>
      <c r="B187" s="194" t="s">
        <v>233</v>
      </c>
      <c r="C187" s="199" t="s">
        <v>116</v>
      </c>
      <c r="D187" s="221" t="s">
        <v>737</v>
      </c>
      <c r="E187" s="203">
        <v>3</v>
      </c>
      <c r="F187" s="770">
        <f>SUM('CPU SINAPI ND OBRA'!K568:K570)</f>
        <v>23.398</v>
      </c>
      <c r="G187" s="770">
        <f>SUM('CPU SINAPI ND OBRA'!K571:K572)</f>
        <v>4.7140430000000002</v>
      </c>
      <c r="H187" s="196">
        <f t="shared" si="85"/>
        <v>84.336129</v>
      </c>
      <c r="I187" s="196">
        <f t="shared" si="86"/>
        <v>84.241580762579332</v>
      </c>
      <c r="J187" s="189">
        <f t="shared" si="87"/>
        <v>18.920647317473161</v>
      </c>
      <c r="K187" s="196">
        <f t="shared" si="88"/>
        <v>103.1622280800525</v>
      </c>
      <c r="L187" s="709">
        <f t="shared" si="76"/>
        <v>3.7667147154841335E-5</v>
      </c>
      <c r="M187" s="192"/>
      <c r="N187" s="192"/>
      <c r="O187" s="192"/>
    </row>
    <row r="188" spans="1:15" s="193" customFormat="1">
      <c r="A188" s="710" t="s">
        <v>1065</v>
      </c>
      <c r="B188" s="194" t="s">
        <v>234</v>
      </c>
      <c r="C188" s="771" t="s">
        <v>1378</v>
      </c>
      <c r="D188" s="221" t="s">
        <v>737</v>
      </c>
      <c r="E188" s="203">
        <v>11</v>
      </c>
      <c r="F188" s="770">
        <f>SUM('CPU SINAPI ND OBRA'!K577:K581)</f>
        <v>11.32094</v>
      </c>
      <c r="G188" s="770">
        <f>SUM('CPU SINAPI ND OBRA'!K582:K583)</f>
        <v>2.1035469999999998</v>
      </c>
      <c r="H188" s="196">
        <f t="shared" si="85"/>
        <v>147.66935699999999</v>
      </c>
      <c r="I188" s="196">
        <f t="shared" si="86"/>
        <v>149.45198584638948</v>
      </c>
      <c r="J188" s="189">
        <f t="shared" si="87"/>
        <v>30.957515656236467</v>
      </c>
      <c r="K188" s="196">
        <f t="shared" si="88"/>
        <v>180.40950150262594</v>
      </c>
      <c r="L188" s="709">
        <f t="shared" si="76"/>
        <v>6.5872086787014284E-5</v>
      </c>
      <c r="M188" s="192"/>
      <c r="N188" s="192"/>
      <c r="O188" s="192"/>
    </row>
    <row r="189" spans="1:15" s="193" customFormat="1">
      <c r="A189" s="710" t="s">
        <v>1270</v>
      </c>
      <c r="B189" s="194" t="s">
        <v>1507</v>
      </c>
      <c r="C189" s="199" t="s">
        <v>1379</v>
      </c>
      <c r="D189" s="221" t="s">
        <v>737</v>
      </c>
      <c r="E189" s="203">
        <v>8</v>
      </c>
      <c r="F189" s="770">
        <f>CPUE!H419</f>
        <v>8.0299999999999994</v>
      </c>
      <c r="G189" s="770">
        <f>CPUE!I419</f>
        <v>5.5356500000000004</v>
      </c>
      <c r="H189" s="196">
        <f t="shared" ref="H189" si="97">E189*(F189+G189)</f>
        <v>108.5252</v>
      </c>
      <c r="I189" s="196">
        <f t="shared" si="86"/>
        <v>77.096035960168891</v>
      </c>
      <c r="J189" s="189">
        <f t="shared" si="87"/>
        <v>59.248833791840141</v>
      </c>
      <c r="K189" s="196">
        <f t="shared" ref="K189" si="98">I189+J189</f>
        <v>136.34486975200903</v>
      </c>
      <c r="L189" s="709">
        <f t="shared" si="76"/>
        <v>4.9782971619916426E-5</v>
      </c>
      <c r="M189" s="190"/>
      <c r="N189" s="190"/>
      <c r="O189" s="190"/>
    </row>
    <row r="190" spans="1:15" s="193" customFormat="1">
      <c r="A190" s="710" t="s">
        <v>758</v>
      </c>
      <c r="B190" s="194" t="s">
        <v>235</v>
      </c>
      <c r="C190" s="199" t="s">
        <v>117</v>
      </c>
      <c r="D190" s="221" t="s">
        <v>737</v>
      </c>
      <c r="E190" s="203">
        <v>14</v>
      </c>
      <c r="F190" s="770">
        <f>SUM('CPU SINAPI ND OBRA'!K587:K589)</f>
        <v>81.236500000000007</v>
      </c>
      <c r="G190" s="770">
        <f>SUM('CPU SINAPI ND OBRA'!K590:K591)</f>
        <v>10.004958999999999</v>
      </c>
      <c r="H190" s="196">
        <f t="shared" si="85"/>
        <v>1277.3804260000002</v>
      </c>
      <c r="I190" s="196">
        <f t="shared" si="86"/>
        <v>1364.9154693943908</v>
      </c>
      <c r="J190" s="189">
        <f t="shared" si="87"/>
        <v>187.39782456424382</v>
      </c>
      <c r="K190" s="196">
        <f t="shared" si="88"/>
        <v>1552.3132939586346</v>
      </c>
      <c r="L190" s="709">
        <f t="shared" si="76"/>
        <v>5.6678897269050337E-4</v>
      </c>
      <c r="M190" s="192"/>
      <c r="N190" s="192"/>
      <c r="O190" s="192"/>
    </row>
    <row r="191" spans="1:15" s="193" customFormat="1">
      <c r="A191" s="710" t="s">
        <v>759</v>
      </c>
      <c r="B191" s="194" t="s">
        <v>236</v>
      </c>
      <c r="C191" s="199" t="s">
        <v>122</v>
      </c>
      <c r="D191" s="221" t="s">
        <v>737</v>
      </c>
      <c r="E191" s="203">
        <v>38</v>
      </c>
      <c r="F191" s="770">
        <f>SUM('CPU SINAPI ND OBRA'!K595:K597)</f>
        <v>16.312000000000001</v>
      </c>
      <c r="G191" s="770">
        <f>SUM('CPU SINAPI ND OBRA'!K598:K599)</f>
        <v>3.5369890000000002</v>
      </c>
      <c r="H191" s="196">
        <f t="shared" si="85"/>
        <v>754.26158200000009</v>
      </c>
      <c r="I191" s="196">
        <f t="shared" si="86"/>
        <v>743.90473951006311</v>
      </c>
      <c r="J191" s="189">
        <f t="shared" si="87"/>
        <v>179.82021055823481</v>
      </c>
      <c r="K191" s="196">
        <f t="shared" si="88"/>
        <v>923.72495006829786</v>
      </c>
      <c r="L191" s="709">
        <f t="shared" si="76"/>
        <v>3.3727541826472862E-4</v>
      </c>
      <c r="M191" s="192"/>
      <c r="N191" s="192"/>
      <c r="O191" s="192"/>
    </row>
    <row r="192" spans="1:15" s="193" customFormat="1">
      <c r="A192" s="710" t="s">
        <v>763</v>
      </c>
      <c r="B192" s="194" t="s">
        <v>237</v>
      </c>
      <c r="C192" s="199" t="s">
        <v>121</v>
      </c>
      <c r="D192" s="221" t="s">
        <v>737</v>
      </c>
      <c r="E192" s="203">
        <v>9</v>
      </c>
      <c r="F192" s="770">
        <f>SUM('CPU SINAPI ND OBRA'!K603:K606)</f>
        <v>52.525599999999997</v>
      </c>
      <c r="G192" s="770">
        <f>SUM('CPU SINAPI ND OBRA'!K607:K608)</f>
        <v>7.5051760000000005</v>
      </c>
      <c r="H192" s="196">
        <f t="shared" si="85"/>
        <v>540.27698399999997</v>
      </c>
      <c r="I192" s="196">
        <f t="shared" si="86"/>
        <v>567.33561515979181</v>
      </c>
      <c r="J192" s="189">
        <f t="shared" si="87"/>
        <v>90.370063330922491</v>
      </c>
      <c r="K192" s="196">
        <f t="shared" si="88"/>
        <v>657.70567849071426</v>
      </c>
      <c r="L192" s="709">
        <f t="shared" si="76"/>
        <v>2.4014503212416356E-4</v>
      </c>
      <c r="M192" s="192"/>
      <c r="N192" s="192"/>
      <c r="O192" s="192"/>
    </row>
    <row r="193" spans="1:15" s="193" customFormat="1">
      <c r="A193" s="710" t="s">
        <v>761</v>
      </c>
      <c r="B193" s="194" t="s">
        <v>238</v>
      </c>
      <c r="C193" s="199" t="s">
        <v>120</v>
      </c>
      <c r="D193" s="221" t="s">
        <v>737</v>
      </c>
      <c r="E193" s="203">
        <v>62</v>
      </c>
      <c r="F193" s="770">
        <f>SUM('CPU SINAPI ND OBRA'!K612:K615)</f>
        <v>7.0653800000000002</v>
      </c>
      <c r="G193" s="770">
        <f>SUM('CPU SINAPI ND OBRA'!K616:K617)</f>
        <v>2.726175</v>
      </c>
      <c r="H193" s="196">
        <f t="shared" si="85"/>
        <v>607.07641000000001</v>
      </c>
      <c r="I193" s="196">
        <f t="shared" si="86"/>
        <v>525.71906933748448</v>
      </c>
      <c r="J193" s="189">
        <f t="shared" si="87"/>
        <v>226.13439132426018</v>
      </c>
      <c r="K193" s="196">
        <f t="shared" si="88"/>
        <v>751.85346066174463</v>
      </c>
      <c r="L193" s="709">
        <f t="shared" si="76"/>
        <v>2.7452077634118729E-4</v>
      </c>
      <c r="M193" s="192"/>
      <c r="N193" s="192"/>
      <c r="O193" s="192"/>
    </row>
    <row r="194" spans="1:15" s="193" customFormat="1">
      <c r="A194" s="710" t="s">
        <v>760</v>
      </c>
      <c r="B194" s="194" t="s">
        <v>802</v>
      </c>
      <c r="C194" s="199" t="s">
        <v>123</v>
      </c>
      <c r="D194" s="221" t="s">
        <v>737</v>
      </c>
      <c r="E194" s="203">
        <v>6</v>
      </c>
      <c r="F194" s="770">
        <f>SUM('CPU SINAPI ND OBRA'!K621:K623)</f>
        <v>14.442</v>
      </c>
      <c r="G194" s="770">
        <f>SUM('CPU SINAPI ND OBRA'!K624:K625)</f>
        <v>3.5369890000000002</v>
      </c>
      <c r="H194" s="196">
        <f t="shared" si="85"/>
        <v>107.87393399999999</v>
      </c>
      <c r="I194" s="196">
        <f t="shared" si="86"/>
        <v>103.99323953954787</v>
      </c>
      <c r="J194" s="189">
        <f t="shared" si="87"/>
        <v>28.392664824984443</v>
      </c>
      <c r="K194" s="196">
        <f t="shared" si="88"/>
        <v>132.38590436453231</v>
      </c>
      <c r="L194" s="709">
        <f t="shared" si="76"/>
        <v>4.8337452900455544E-5</v>
      </c>
      <c r="M194" s="192"/>
      <c r="N194" s="192"/>
      <c r="O194" s="192"/>
    </row>
    <row r="195" spans="1:15" s="191" customFormat="1">
      <c r="A195" s="710" t="s">
        <v>762</v>
      </c>
      <c r="B195" s="194" t="s">
        <v>877</v>
      </c>
      <c r="C195" s="199" t="s">
        <v>124</v>
      </c>
      <c r="D195" s="221" t="s">
        <v>737</v>
      </c>
      <c r="E195" s="203">
        <v>16</v>
      </c>
      <c r="F195" s="770">
        <f>SUM('CPU SINAPI ND OBRA'!K629:K631)</f>
        <v>36.805599999999998</v>
      </c>
      <c r="G195" s="770">
        <f>SUM('CPU SINAPI ND OBRA'!K632:K633)</f>
        <v>7.5051760000000005</v>
      </c>
      <c r="H195" s="196">
        <f t="shared" si="85"/>
        <v>708.97241599999995</v>
      </c>
      <c r="I195" s="196">
        <f t="shared" si="86"/>
        <v>706.74118583700931</v>
      </c>
      <c r="J195" s="189">
        <f t="shared" si="87"/>
        <v>160.65789036608442</v>
      </c>
      <c r="K195" s="196">
        <f t="shared" si="88"/>
        <v>867.39907620309373</v>
      </c>
      <c r="L195" s="709">
        <f t="shared" si="76"/>
        <v>3.1670941247955581E-4</v>
      </c>
      <c r="M195" s="190"/>
      <c r="N195" s="190"/>
      <c r="O195" s="190"/>
    </row>
    <row r="196" spans="1:15" s="193" customFormat="1">
      <c r="A196" s="710" t="s">
        <v>764</v>
      </c>
      <c r="B196" s="194" t="s">
        <v>878</v>
      </c>
      <c r="C196" s="199" t="s">
        <v>1510</v>
      </c>
      <c r="D196" s="221" t="s">
        <v>737</v>
      </c>
      <c r="E196" s="203">
        <v>8</v>
      </c>
      <c r="F196" s="770">
        <f>SUM('CPU SINAPI ND OBRA'!K637:K640)</f>
        <v>16.033159999999999</v>
      </c>
      <c r="G196" s="770">
        <f>SUM('CPU SINAPI ND OBRA'!K641:K642)</f>
        <v>8.1578000000000017</v>
      </c>
      <c r="H196" s="196">
        <f t="shared" si="85"/>
        <v>193.52768</v>
      </c>
      <c r="I196" s="196">
        <f t="shared" si="86"/>
        <v>153.93438106041611</v>
      </c>
      <c r="J196" s="189">
        <f t="shared" si="87"/>
        <v>87.31407085113284</v>
      </c>
      <c r="K196" s="196">
        <f t="shared" si="88"/>
        <v>241.24845191154895</v>
      </c>
      <c r="L196" s="709">
        <f t="shared" si="76"/>
        <v>8.808593133504715E-5</v>
      </c>
      <c r="M196" s="192"/>
      <c r="N196" s="192"/>
      <c r="O196" s="192"/>
    </row>
    <row r="197" spans="1:15" s="193" customFormat="1">
      <c r="A197" s="710" t="s">
        <v>765</v>
      </c>
      <c r="B197" s="194" t="s">
        <v>879</v>
      </c>
      <c r="C197" s="199" t="s">
        <v>1511</v>
      </c>
      <c r="D197" s="221" t="s">
        <v>737</v>
      </c>
      <c r="E197" s="203">
        <v>3</v>
      </c>
      <c r="F197" s="770">
        <f>SUM('CPU SINAPI ND OBRA'!K646:K649)</f>
        <v>29.372200999999997</v>
      </c>
      <c r="G197" s="770">
        <f>SUM('CPU SINAPI ND OBRA'!K650:K651)</f>
        <v>9.0143690000000003</v>
      </c>
      <c r="H197" s="196">
        <f t="shared" si="85"/>
        <v>115.15970999999999</v>
      </c>
      <c r="I197" s="196">
        <f t="shared" si="86"/>
        <v>105.75094635080832</v>
      </c>
      <c r="J197" s="189">
        <f t="shared" si="87"/>
        <v>36.18076810893816</v>
      </c>
      <c r="K197" s="196">
        <f t="shared" si="88"/>
        <v>141.93171445974647</v>
      </c>
      <c r="L197" s="709">
        <f t="shared" si="76"/>
        <v>5.1822870385715608E-5</v>
      </c>
      <c r="M197" s="192"/>
      <c r="N197" s="192"/>
      <c r="O197" s="192"/>
    </row>
    <row r="198" spans="1:15" s="193" customFormat="1">
      <c r="A198" s="710" t="s">
        <v>766</v>
      </c>
      <c r="B198" s="194" t="s">
        <v>880</v>
      </c>
      <c r="C198" s="199" t="s">
        <v>1222</v>
      </c>
      <c r="D198" s="221" t="s">
        <v>737</v>
      </c>
      <c r="E198" s="203">
        <v>6</v>
      </c>
      <c r="F198" s="770">
        <f>SUM('CPU SINAPI ND OBRA'!K655:K660)</f>
        <v>39.844647999999999</v>
      </c>
      <c r="G198" s="770">
        <f>SUM('CPU SINAPI ND OBRA'!K661:K662)</f>
        <v>12.673725000000001</v>
      </c>
      <c r="H198" s="196">
        <f t="shared" si="85"/>
        <v>315.11023799999998</v>
      </c>
      <c r="I198" s="196">
        <f t="shared" si="86"/>
        <v>286.91137126665052</v>
      </c>
      <c r="J198" s="189">
        <f t="shared" si="87"/>
        <v>101.73648433993601</v>
      </c>
      <c r="K198" s="196">
        <f t="shared" si="88"/>
        <v>388.64785560658652</v>
      </c>
      <c r="L198" s="709">
        <f t="shared" si="76"/>
        <v>1.419051938000695E-4</v>
      </c>
      <c r="M198" s="192"/>
      <c r="N198" s="192"/>
      <c r="O198" s="192"/>
    </row>
    <row r="199" spans="1:15" s="193" customFormat="1">
      <c r="A199" s="710" t="s">
        <v>767</v>
      </c>
      <c r="B199" s="194" t="s">
        <v>881</v>
      </c>
      <c r="C199" s="199" t="s">
        <v>393</v>
      </c>
      <c r="D199" s="221" t="s">
        <v>737</v>
      </c>
      <c r="E199" s="203">
        <v>2</v>
      </c>
      <c r="F199" s="770">
        <f>SUM('CPU SINAPI ND OBRA'!K666:K669)</f>
        <v>16.388173000000002</v>
      </c>
      <c r="G199" s="770">
        <f>SUM('CPU SINAPI ND OBRA'!K670:K671)</f>
        <v>6.5204130000000005</v>
      </c>
      <c r="H199" s="196">
        <f>E199*(F199+G199)</f>
        <v>45.817172000000006</v>
      </c>
      <c r="I199" s="196">
        <f t="shared" si="86"/>
        <v>39.335715284230048</v>
      </c>
      <c r="J199" s="189">
        <f t="shared" si="87"/>
        <v>17.447222371860292</v>
      </c>
      <c r="K199" s="196">
        <f>I199+J199</f>
        <v>56.78293765609034</v>
      </c>
      <c r="L199" s="709">
        <f t="shared" si="76"/>
        <v>2.0732891372958874E-5</v>
      </c>
      <c r="M199" s="192"/>
      <c r="N199" s="192"/>
      <c r="O199" s="192"/>
    </row>
    <row r="200" spans="1:15" s="193" customFormat="1">
      <c r="A200" s="710" t="s">
        <v>1216</v>
      </c>
      <c r="B200" s="194" t="s">
        <v>882</v>
      </c>
      <c r="C200" s="199" t="s">
        <v>899</v>
      </c>
      <c r="D200" s="221" t="s">
        <v>737</v>
      </c>
      <c r="E200" s="203">
        <v>1</v>
      </c>
      <c r="F200" s="770">
        <f>SUM('CPU SINAPI ND OBRA'!K675)</f>
        <v>42.69</v>
      </c>
      <c r="G200" s="770">
        <f>SUM('CPU SINAPI ND OBRA'!K676:K677)</f>
        <v>41.705663999999999</v>
      </c>
      <c r="H200" s="196">
        <f t="shared" ref="H200:H211" si="99">E200*(F200+G200)</f>
        <v>84.395663999999996</v>
      </c>
      <c r="I200" s="196">
        <f t="shared" si="86"/>
        <v>51.233340210766038</v>
      </c>
      <c r="J200" s="189">
        <f t="shared" si="87"/>
        <v>55.797692107393232</v>
      </c>
      <c r="K200" s="196">
        <f t="shared" ref="K200:K211" si="100">I200+J200</f>
        <v>107.03103231815928</v>
      </c>
      <c r="L200" s="709">
        <f t="shared" si="76"/>
        <v>3.9079745750879408E-5</v>
      </c>
      <c r="M200" s="192"/>
      <c r="N200" s="192"/>
      <c r="O200" s="192"/>
    </row>
    <row r="201" spans="1:15" s="193" customFormat="1">
      <c r="A201" s="710" t="s">
        <v>1271</v>
      </c>
      <c r="B201" s="194" t="s">
        <v>883</v>
      </c>
      <c r="C201" s="199" t="s">
        <v>900</v>
      </c>
      <c r="D201" s="221" t="s">
        <v>737</v>
      </c>
      <c r="E201" s="203">
        <v>1</v>
      </c>
      <c r="F201" s="770">
        <f>CPUE!H426</f>
        <v>100.37</v>
      </c>
      <c r="G201" s="770">
        <f>CPUE!I426</f>
        <v>7.8664500000000004</v>
      </c>
      <c r="H201" s="196">
        <f t="shared" si="99"/>
        <v>108.23645</v>
      </c>
      <c r="I201" s="196">
        <f t="shared" si="86"/>
        <v>120.45655556230001</v>
      </c>
      <c r="J201" s="189">
        <f t="shared" si="87"/>
        <v>10.52446389723476</v>
      </c>
      <c r="K201" s="196">
        <f t="shared" si="100"/>
        <v>130.98101945953476</v>
      </c>
      <c r="L201" s="709">
        <f t="shared" si="76"/>
        <v>4.7824493773486184E-5</v>
      </c>
      <c r="M201" s="190"/>
      <c r="N201" s="190"/>
      <c r="O201" s="190"/>
    </row>
    <row r="202" spans="1:15" s="193" customFormat="1" ht="42">
      <c r="A202" s="710" t="s">
        <v>1276</v>
      </c>
      <c r="B202" s="194" t="s">
        <v>884</v>
      </c>
      <c r="C202" s="194" t="s">
        <v>1381</v>
      </c>
      <c r="D202" s="221" t="s">
        <v>737</v>
      </c>
      <c r="E202" s="773">
        <v>18</v>
      </c>
      <c r="F202" s="770">
        <f>CPUE!H433</f>
        <v>530.45000000000005</v>
      </c>
      <c r="G202" s="770">
        <f>CPUE!I433</f>
        <v>74.002900000000011</v>
      </c>
      <c r="H202" s="196">
        <f t="shared" si="99"/>
        <v>10880.1522</v>
      </c>
      <c r="I202" s="196">
        <f>E202*F202*(1+K5)</f>
        <v>10796.431808951927</v>
      </c>
      <c r="J202" s="189">
        <f t="shared" si="87"/>
        <v>1782.1425532650862</v>
      </c>
      <c r="K202" s="196">
        <f t="shared" si="100"/>
        <v>12578.574362217014</v>
      </c>
      <c r="L202" s="709">
        <f t="shared" ref="L202:L265" si="101">K202/$K$436</f>
        <v>4.592756673809731E-3</v>
      </c>
      <c r="M202" s="190"/>
      <c r="N202" s="190"/>
      <c r="O202" s="190"/>
    </row>
    <row r="203" spans="1:15" s="193" customFormat="1">
      <c r="A203" s="710" t="s">
        <v>1089</v>
      </c>
      <c r="B203" s="194" t="s">
        <v>885</v>
      </c>
      <c r="C203" s="198" t="s">
        <v>901</v>
      </c>
      <c r="D203" s="221" t="s">
        <v>737</v>
      </c>
      <c r="E203" s="773">
        <v>100</v>
      </c>
      <c r="F203" s="770">
        <f>CPUE!H330</f>
        <v>1.73</v>
      </c>
      <c r="G203" s="770">
        <f>CPUE!I330</f>
        <v>2.5459100000000006</v>
      </c>
      <c r="H203" s="196">
        <f t="shared" si="99"/>
        <v>427.59100000000007</v>
      </c>
      <c r="I203" s="196">
        <f t="shared" ref="I203:I211" si="102">E203*F203*(1+$G$436)</f>
        <v>207.62164105089073</v>
      </c>
      <c r="J203" s="189">
        <f t="shared" si="87"/>
        <v>340.61537136330821</v>
      </c>
      <c r="K203" s="196">
        <f t="shared" si="100"/>
        <v>548.23701241419894</v>
      </c>
      <c r="L203" s="709">
        <f t="shared" si="101"/>
        <v>2.0017524443453934E-4</v>
      </c>
      <c r="M203" s="190"/>
      <c r="N203" s="190"/>
      <c r="O203" s="190"/>
    </row>
    <row r="204" spans="1:15" s="193" customFormat="1">
      <c r="A204" s="710" t="s">
        <v>1093</v>
      </c>
      <c r="B204" s="194" t="s">
        <v>886</v>
      </c>
      <c r="C204" s="198" t="s">
        <v>902</v>
      </c>
      <c r="D204" s="221" t="s">
        <v>737</v>
      </c>
      <c r="E204" s="773">
        <v>16</v>
      </c>
      <c r="F204" s="770">
        <f>CPUE!H337</f>
        <v>2.12</v>
      </c>
      <c r="G204" s="770">
        <f>CPUE!I337</f>
        <v>2.5459100000000006</v>
      </c>
      <c r="H204" s="196">
        <f t="shared" si="99"/>
        <v>74.654560000000004</v>
      </c>
      <c r="I204" s="196">
        <f t="shared" si="102"/>
        <v>40.708243147087941</v>
      </c>
      <c r="J204" s="189">
        <f t="shared" si="87"/>
        <v>54.498459418129308</v>
      </c>
      <c r="K204" s="196">
        <f t="shared" si="100"/>
        <v>95.206702565217256</v>
      </c>
      <c r="L204" s="709">
        <f t="shared" si="101"/>
        <v>3.4762382922443594E-5</v>
      </c>
      <c r="M204" s="190"/>
      <c r="N204" s="190"/>
      <c r="O204" s="190"/>
    </row>
    <row r="205" spans="1:15" s="193" customFormat="1">
      <c r="A205" s="710" t="s">
        <v>1092</v>
      </c>
      <c r="B205" s="194" t="s">
        <v>887</v>
      </c>
      <c r="C205" s="198" t="s">
        <v>903</v>
      </c>
      <c r="D205" s="221" t="s">
        <v>737</v>
      </c>
      <c r="E205" s="773">
        <v>358</v>
      </c>
      <c r="F205" s="770">
        <f>CPUE!H345</f>
        <v>1.82</v>
      </c>
      <c r="G205" s="770">
        <f>CPUE!I345</f>
        <v>2.5459100000000006</v>
      </c>
      <c r="H205" s="196">
        <f t="shared" si="99"/>
        <v>1562.9957800000002</v>
      </c>
      <c r="I205" s="196">
        <f t="shared" si="102"/>
        <v>781.95350545155122</v>
      </c>
      <c r="J205" s="189">
        <f t="shared" si="87"/>
        <v>1219.4030294806432</v>
      </c>
      <c r="K205" s="196">
        <f t="shared" si="100"/>
        <v>2001.3565349321943</v>
      </c>
      <c r="L205" s="709">
        <f t="shared" si="101"/>
        <v>7.3074605418657949E-4</v>
      </c>
      <c r="M205" s="190"/>
      <c r="N205" s="190"/>
      <c r="O205" s="190"/>
    </row>
    <row r="206" spans="1:15" s="193" customFormat="1">
      <c r="A206" s="710" t="s">
        <v>1356</v>
      </c>
      <c r="B206" s="194" t="s">
        <v>888</v>
      </c>
      <c r="C206" s="198" t="s">
        <v>904</v>
      </c>
      <c r="D206" s="221" t="s">
        <v>737</v>
      </c>
      <c r="E206" s="773">
        <v>26</v>
      </c>
      <c r="F206" s="770">
        <f>CPUE!H353</f>
        <v>2.5499999999999998</v>
      </c>
      <c r="G206" s="770">
        <f>CPUE!I353</f>
        <v>3.0946800000000003</v>
      </c>
      <c r="H206" s="196">
        <f t="shared" si="99"/>
        <v>146.76168000000001</v>
      </c>
      <c r="I206" s="196">
        <f t="shared" si="102"/>
        <v>79.568293651295107</v>
      </c>
      <c r="J206" s="189">
        <f t="shared" si="87"/>
        <v>107.64907248769855</v>
      </c>
      <c r="K206" s="196">
        <f t="shared" si="100"/>
        <v>187.21736613899367</v>
      </c>
      <c r="L206" s="709">
        <f t="shared" si="101"/>
        <v>6.8357810911442022E-5</v>
      </c>
      <c r="M206" s="190"/>
      <c r="N206" s="190"/>
      <c r="O206" s="190"/>
    </row>
    <row r="207" spans="1:15" s="193" customFormat="1">
      <c r="A207" s="710" t="s">
        <v>1357</v>
      </c>
      <c r="B207" s="194" t="s">
        <v>889</v>
      </c>
      <c r="C207" s="198" t="s">
        <v>1159</v>
      </c>
      <c r="D207" s="221" t="s">
        <v>737</v>
      </c>
      <c r="E207" s="773">
        <v>36</v>
      </c>
      <c r="F207" s="770">
        <f>CPUE!H362</f>
        <v>6.55</v>
      </c>
      <c r="G207" s="770">
        <f>CPUE!I362</f>
        <v>3.0946800000000003</v>
      </c>
      <c r="H207" s="196">
        <f t="shared" si="99"/>
        <v>347.20848000000001</v>
      </c>
      <c r="I207" s="196">
        <f t="shared" si="102"/>
        <v>282.98949687745682</v>
      </c>
      <c r="J207" s="189">
        <f t="shared" si="87"/>
        <v>149.05256190604413</v>
      </c>
      <c r="K207" s="196">
        <f t="shared" si="100"/>
        <v>432.04205878350092</v>
      </c>
      <c r="L207" s="709">
        <f t="shared" si="101"/>
        <v>1.5774951848316512E-4</v>
      </c>
      <c r="M207" s="190"/>
      <c r="N207" s="190"/>
      <c r="O207" s="190"/>
    </row>
    <row r="208" spans="1:15" s="193" customFormat="1">
      <c r="A208" s="710" t="s">
        <v>2352</v>
      </c>
      <c r="B208" s="194" t="s">
        <v>890</v>
      </c>
      <c r="C208" s="198" t="s">
        <v>905</v>
      </c>
      <c r="D208" s="222" t="s">
        <v>13</v>
      </c>
      <c r="E208" s="773">
        <v>215</v>
      </c>
      <c r="F208" s="770">
        <f>CPUE!H1160</f>
        <v>8.3000000000000007</v>
      </c>
      <c r="G208" s="770">
        <f>CPUE!I1160</f>
        <v>2.1568000000000001</v>
      </c>
      <c r="H208" s="196">
        <f t="shared" si="99"/>
        <v>2248.2120000000004</v>
      </c>
      <c r="I208" s="196">
        <f t="shared" si="102"/>
        <v>2141.6232280654021</v>
      </c>
      <c r="J208" s="189">
        <f t="shared" si="87"/>
        <v>620.39677398502818</v>
      </c>
      <c r="K208" s="196">
        <f t="shared" si="100"/>
        <v>2762.0200020504303</v>
      </c>
      <c r="L208" s="709">
        <f t="shared" si="101"/>
        <v>1.0084835874339306E-3</v>
      </c>
      <c r="M208" s="190"/>
      <c r="N208" s="190"/>
      <c r="O208" s="190"/>
    </row>
    <row r="209" spans="1:15" s="193" customFormat="1">
      <c r="A209" s="710" t="s">
        <v>1277</v>
      </c>
      <c r="B209" s="194" t="s">
        <v>891</v>
      </c>
      <c r="C209" s="198" t="s">
        <v>906</v>
      </c>
      <c r="D209" s="221" t="s">
        <v>737</v>
      </c>
      <c r="E209" s="773">
        <v>9</v>
      </c>
      <c r="F209" s="770">
        <f>CPUE!H439</f>
        <v>18.8</v>
      </c>
      <c r="G209" s="770">
        <f>CPUE!I439</f>
        <v>3.2130000000000005</v>
      </c>
      <c r="H209" s="196">
        <f t="shared" si="99"/>
        <v>198.11700000000002</v>
      </c>
      <c r="I209" s="196">
        <f t="shared" si="102"/>
        <v>203.06116569832781</v>
      </c>
      <c r="J209" s="189">
        <f t="shared" si="87"/>
        <v>38.687835366186484</v>
      </c>
      <c r="K209" s="196">
        <f t="shared" si="100"/>
        <v>241.74900106451429</v>
      </c>
      <c r="L209" s="709">
        <f t="shared" si="101"/>
        <v>8.8268694531944613E-5</v>
      </c>
      <c r="M209" s="190"/>
      <c r="N209" s="190"/>
      <c r="O209" s="190"/>
    </row>
    <row r="210" spans="1:15" s="193" customFormat="1">
      <c r="A210" s="710" t="s">
        <v>2350</v>
      </c>
      <c r="B210" s="194" t="s">
        <v>892</v>
      </c>
      <c r="C210" s="194" t="s">
        <v>860</v>
      </c>
      <c r="D210" s="221" t="s">
        <v>737</v>
      </c>
      <c r="E210" s="774">
        <v>536</v>
      </c>
      <c r="F210" s="770">
        <f>CPUE!H1148</f>
        <v>2.35</v>
      </c>
      <c r="G210" s="770">
        <f>CPUE!I1148</f>
        <v>1.6175999999999999</v>
      </c>
      <c r="H210" s="196">
        <f t="shared" si="99"/>
        <v>2126.6336000000001</v>
      </c>
      <c r="I210" s="196">
        <f t="shared" si="102"/>
        <v>1511.6775668653293</v>
      </c>
      <c r="J210" s="189">
        <f t="shared" si="87"/>
        <v>1159.9976890324715</v>
      </c>
      <c r="K210" s="196">
        <f t="shared" si="100"/>
        <v>2671.6752558978005</v>
      </c>
      <c r="L210" s="709">
        <f t="shared" si="101"/>
        <v>9.7549642816709907E-4</v>
      </c>
      <c r="M210" s="190"/>
      <c r="N210" s="190"/>
      <c r="O210" s="190"/>
    </row>
    <row r="211" spans="1:15" s="193" customFormat="1" ht="21.75" thickBot="1">
      <c r="A211" s="724" t="s">
        <v>2351</v>
      </c>
      <c r="B211" s="711" t="s">
        <v>893</v>
      </c>
      <c r="C211" s="711" t="s">
        <v>861</v>
      </c>
      <c r="D211" s="712" t="s">
        <v>737</v>
      </c>
      <c r="E211" s="775">
        <v>536</v>
      </c>
      <c r="F211" s="776">
        <f>CPUE!H1154</f>
        <v>1.99</v>
      </c>
      <c r="G211" s="776">
        <f>CPUE!I1154</f>
        <v>0.53920000000000001</v>
      </c>
      <c r="H211" s="714">
        <f t="shared" si="99"/>
        <v>1355.6512</v>
      </c>
      <c r="I211" s="714">
        <f t="shared" si="102"/>
        <v>1280.1014289625555</v>
      </c>
      <c r="J211" s="715">
        <f t="shared" si="87"/>
        <v>386.6658963441572</v>
      </c>
      <c r="K211" s="714">
        <f t="shared" si="100"/>
        <v>1666.7673253067128</v>
      </c>
      <c r="L211" s="716">
        <f t="shared" si="101"/>
        <v>6.0857904374158115E-4</v>
      </c>
      <c r="M211" s="190"/>
      <c r="N211" s="190"/>
      <c r="O211" s="190"/>
    </row>
    <row r="212" spans="1:15" ht="21.75" thickBot="1">
      <c r="A212" s="924">
        <v>5</v>
      </c>
      <c r="B212" s="925"/>
      <c r="C212" s="926" t="s">
        <v>136</v>
      </c>
      <c r="D212" s="927"/>
      <c r="E212" s="927"/>
      <c r="F212" s="927"/>
      <c r="G212" s="925"/>
      <c r="H212" s="833">
        <f>H213+H224+H234+H241+H297+H300+H305</f>
        <v>458241.64391799993</v>
      </c>
      <c r="I212" s="833">
        <f>I213+I224+I234+I241+I297+I300+I305</f>
        <v>490751.68239086703</v>
      </c>
      <c r="J212" s="834">
        <f>J213+J224+J234+J241+J297+J300+J305</f>
        <v>50330.215007689505</v>
      </c>
      <c r="K212" s="833">
        <f>K213+K224+K234+K241+K297+K300+K305</f>
        <v>563312.97359507496</v>
      </c>
      <c r="L212" s="830">
        <f t="shared" si="101"/>
        <v>0.2056798604056104</v>
      </c>
      <c r="M212" s="190"/>
      <c r="N212" s="190"/>
      <c r="O212" s="190"/>
    </row>
    <row r="213" spans="1:15" ht="21.75" thickBot="1">
      <c r="A213" s="924" t="s">
        <v>189</v>
      </c>
      <c r="B213" s="925"/>
      <c r="C213" s="926" t="s">
        <v>40</v>
      </c>
      <c r="D213" s="927"/>
      <c r="E213" s="927"/>
      <c r="F213" s="927"/>
      <c r="G213" s="925"/>
      <c r="H213" s="833">
        <f>SUM(H214:H223)</f>
        <v>203401.69999999995</v>
      </c>
      <c r="I213" s="833">
        <f>SUM(I214:I223)</f>
        <v>226876.47425931349</v>
      </c>
      <c r="J213" s="834">
        <f>SUM(J214:J223)</f>
        <v>3689.5059511475069</v>
      </c>
      <c r="K213" s="833">
        <f>SUM(K214:K223)</f>
        <v>230565.98021046093</v>
      </c>
      <c r="L213" s="830">
        <f t="shared" si="101"/>
        <v>8.4185489855341314E-2</v>
      </c>
      <c r="M213" s="190"/>
      <c r="N213" s="190"/>
      <c r="O213" s="190"/>
    </row>
    <row r="214" spans="1:15" ht="85.9" customHeight="1">
      <c r="A214" s="717" t="s">
        <v>2319</v>
      </c>
      <c r="B214" s="777" t="s">
        <v>239</v>
      </c>
      <c r="C214" s="778" t="s">
        <v>2337</v>
      </c>
      <c r="D214" s="741" t="s">
        <v>737</v>
      </c>
      <c r="E214" s="720">
        <v>11</v>
      </c>
      <c r="F214" s="721">
        <f>CPUE!H1041</f>
        <v>4150</v>
      </c>
      <c r="G214" s="721">
        <f>CPUE!I1041</f>
        <v>119.9</v>
      </c>
      <c r="H214" s="721">
        <f t="shared" ref="H214:H223" si="103">E214*(F214+G214)</f>
        <v>46968.899999999994</v>
      </c>
      <c r="I214" s="721">
        <f t="shared" ref="I214:I223" si="104">E214*F214*(1+$K$5)</f>
        <v>51618.344181424109</v>
      </c>
      <c r="J214" s="722">
        <f t="shared" ref="J214:J223" si="105">E214*G214*(1+$G$436)*(1+$H$7)</f>
        <v>1764.5463244618509</v>
      </c>
      <c r="K214" s="721">
        <f t="shared" ref="K214:K223" si="106">I214+J214</f>
        <v>53382.89050588596</v>
      </c>
      <c r="L214" s="723">
        <f t="shared" si="101"/>
        <v>1.9491447884158238E-2</v>
      </c>
      <c r="M214" s="190"/>
      <c r="N214" s="190"/>
      <c r="O214" s="190"/>
    </row>
    <row r="215" spans="1:15" ht="84">
      <c r="A215" s="710" t="s">
        <v>2322</v>
      </c>
      <c r="B215" s="205" t="s">
        <v>241</v>
      </c>
      <c r="C215" s="208" t="s">
        <v>2338</v>
      </c>
      <c r="D215" s="221" t="s">
        <v>737</v>
      </c>
      <c r="E215" s="195">
        <v>1</v>
      </c>
      <c r="F215" s="196">
        <f>CPUE!H1048</f>
        <v>5300</v>
      </c>
      <c r="G215" s="196">
        <f>CPUE!I1048</f>
        <v>119.9</v>
      </c>
      <c r="H215" s="196">
        <f t="shared" si="103"/>
        <v>5419.9</v>
      </c>
      <c r="I215" s="196">
        <f t="shared" si="104"/>
        <v>5992.9293354117799</v>
      </c>
      <c r="J215" s="189">
        <f t="shared" si="105"/>
        <v>160.41330222380461</v>
      </c>
      <c r="K215" s="196">
        <f t="shared" si="106"/>
        <v>6153.3426376355847</v>
      </c>
      <c r="L215" s="709">
        <f t="shared" si="101"/>
        <v>2.2467415345674949E-3</v>
      </c>
      <c r="M215" s="190"/>
      <c r="N215" s="190"/>
      <c r="O215" s="190"/>
    </row>
    <row r="216" spans="1:15" ht="84">
      <c r="A216" s="710" t="s">
        <v>2325</v>
      </c>
      <c r="B216" s="205" t="s">
        <v>242</v>
      </c>
      <c r="C216" s="208" t="s">
        <v>2339</v>
      </c>
      <c r="D216" s="221" t="s">
        <v>737</v>
      </c>
      <c r="E216" s="195">
        <v>4</v>
      </c>
      <c r="F216" s="196">
        <f>CPUE!H1055</f>
        <v>3800</v>
      </c>
      <c r="G216" s="196">
        <f>CPUE!I1055</f>
        <v>119.9</v>
      </c>
      <c r="H216" s="196">
        <f t="shared" si="103"/>
        <v>15679.6</v>
      </c>
      <c r="I216" s="196">
        <f t="shared" si="104"/>
        <v>17187.269037407368</v>
      </c>
      <c r="J216" s="189">
        <f t="shared" si="105"/>
        <v>641.65320889521843</v>
      </c>
      <c r="K216" s="196">
        <f t="shared" si="106"/>
        <v>17828.922246302587</v>
      </c>
      <c r="L216" s="709">
        <f t="shared" si="101"/>
        <v>6.50979191087826E-3</v>
      </c>
      <c r="M216" s="190"/>
      <c r="N216" s="190"/>
      <c r="O216" s="190"/>
    </row>
    <row r="217" spans="1:15" ht="84">
      <c r="A217" s="710" t="s">
        <v>2326</v>
      </c>
      <c r="B217" s="205" t="s">
        <v>243</v>
      </c>
      <c r="C217" s="208" t="s">
        <v>2480</v>
      </c>
      <c r="D217" s="221" t="s">
        <v>737</v>
      </c>
      <c r="E217" s="195">
        <v>1</v>
      </c>
      <c r="F217" s="196">
        <f>CPUE!H1062</f>
        <v>18526</v>
      </c>
      <c r="G217" s="196">
        <f>CPUE!I1062</f>
        <v>119.9</v>
      </c>
      <c r="H217" s="196">
        <f t="shared" si="103"/>
        <v>18645.900000000001</v>
      </c>
      <c r="I217" s="196">
        <f t="shared" si="104"/>
        <v>20948.114880724272</v>
      </c>
      <c r="J217" s="189">
        <f t="shared" si="105"/>
        <v>160.41330222380461</v>
      </c>
      <c r="K217" s="196">
        <f t="shared" si="106"/>
        <v>21108.528182948077</v>
      </c>
      <c r="L217" s="709">
        <f t="shared" si="101"/>
        <v>7.7072592564813103E-3</v>
      </c>
      <c r="M217" s="190"/>
      <c r="N217" s="190"/>
      <c r="O217" s="190"/>
    </row>
    <row r="218" spans="1:15" ht="84">
      <c r="A218" s="710" t="s">
        <v>2327</v>
      </c>
      <c r="B218" s="205" t="s">
        <v>244</v>
      </c>
      <c r="C218" s="208" t="s">
        <v>2481</v>
      </c>
      <c r="D218" s="221" t="s">
        <v>737</v>
      </c>
      <c r="E218" s="195">
        <v>1</v>
      </c>
      <c r="F218" s="196">
        <f>CPUE!H1069</f>
        <v>18526</v>
      </c>
      <c r="G218" s="196">
        <f>CPUE!I1069</f>
        <v>119.9</v>
      </c>
      <c r="H218" s="196">
        <f t="shared" si="103"/>
        <v>18645.900000000001</v>
      </c>
      <c r="I218" s="196">
        <f t="shared" si="104"/>
        <v>20948.114880724272</v>
      </c>
      <c r="J218" s="189">
        <f t="shared" si="105"/>
        <v>160.41330222380461</v>
      </c>
      <c r="K218" s="196">
        <f t="shared" si="106"/>
        <v>21108.528182948077</v>
      </c>
      <c r="L218" s="709">
        <f t="shared" si="101"/>
        <v>7.7072592564813103E-3</v>
      </c>
      <c r="M218" s="190"/>
      <c r="N218" s="190"/>
      <c r="O218" s="190"/>
    </row>
    <row r="219" spans="1:15" ht="84">
      <c r="A219" s="710" t="s">
        <v>2328</v>
      </c>
      <c r="B219" s="205" t="s">
        <v>245</v>
      </c>
      <c r="C219" s="208" t="s">
        <v>2482</v>
      </c>
      <c r="D219" s="221" t="s">
        <v>737</v>
      </c>
      <c r="E219" s="195">
        <v>1</v>
      </c>
      <c r="F219" s="196">
        <f>CPUE!H1076</f>
        <v>18526</v>
      </c>
      <c r="G219" s="196">
        <f>CPUE!I1076</f>
        <v>119.9</v>
      </c>
      <c r="H219" s="196">
        <f t="shared" si="103"/>
        <v>18645.900000000001</v>
      </c>
      <c r="I219" s="196">
        <f t="shared" si="104"/>
        <v>20948.114880724272</v>
      </c>
      <c r="J219" s="189">
        <f t="shared" si="105"/>
        <v>160.41330222380461</v>
      </c>
      <c r="K219" s="196">
        <f t="shared" si="106"/>
        <v>21108.528182948077</v>
      </c>
      <c r="L219" s="709">
        <f t="shared" si="101"/>
        <v>7.7072592564813103E-3</v>
      </c>
      <c r="M219" s="190"/>
      <c r="N219" s="190"/>
      <c r="O219" s="190"/>
    </row>
    <row r="220" spans="1:15" ht="84">
      <c r="A220" s="710" t="s">
        <v>2329</v>
      </c>
      <c r="B220" s="205" t="s">
        <v>246</v>
      </c>
      <c r="C220" s="208" t="s">
        <v>2483</v>
      </c>
      <c r="D220" s="221" t="s">
        <v>737</v>
      </c>
      <c r="E220" s="195">
        <v>1</v>
      </c>
      <c r="F220" s="196">
        <f>CPUE!H1083</f>
        <v>21943</v>
      </c>
      <c r="G220" s="196">
        <f>CPUE!I1083</f>
        <v>119.9</v>
      </c>
      <c r="H220" s="196">
        <f t="shared" si="103"/>
        <v>22062.9</v>
      </c>
      <c r="I220" s="196">
        <f t="shared" si="104"/>
        <v>24811.858189988809</v>
      </c>
      <c r="J220" s="189">
        <f t="shared" si="105"/>
        <v>160.41330222380461</v>
      </c>
      <c r="K220" s="196">
        <f t="shared" si="106"/>
        <v>24972.271492212614</v>
      </c>
      <c r="L220" s="709">
        <f t="shared" si="101"/>
        <v>9.1180099789808945E-3</v>
      </c>
      <c r="M220" s="190"/>
      <c r="N220" s="190"/>
      <c r="O220" s="190"/>
    </row>
    <row r="221" spans="1:15" ht="84">
      <c r="A221" s="710" t="s">
        <v>2330</v>
      </c>
      <c r="B221" s="205" t="s">
        <v>247</v>
      </c>
      <c r="C221" s="208" t="s">
        <v>2484</v>
      </c>
      <c r="D221" s="221" t="s">
        <v>737</v>
      </c>
      <c r="E221" s="195">
        <v>1</v>
      </c>
      <c r="F221" s="196">
        <f>CPUE!H1090</f>
        <v>21943</v>
      </c>
      <c r="G221" s="196">
        <f>CPUE!I1090</f>
        <v>119.9</v>
      </c>
      <c r="H221" s="196">
        <f t="shared" si="103"/>
        <v>22062.9</v>
      </c>
      <c r="I221" s="196">
        <f t="shared" si="104"/>
        <v>24811.858189988809</v>
      </c>
      <c r="J221" s="189">
        <f t="shared" si="105"/>
        <v>160.41330222380461</v>
      </c>
      <c r="K221" s="196">
        <f t="shared" si="106"/>
        <v>24972.271492212614</v>
      </c>
      <c r="L221" s="709">
        <f t="shared" si="101"/>
        <v>9.1180099789808945E-3</v>
      </c>
      <c r="M221" s="190"/>
      <c r="N221" s="190"/>
      <c r="O221" s="190"/>
    </row>
    <row r="222" spans="1:15" ht="84">
      <c r="A222" s="710" t="s">
        <v>2331</v>
      </c>
      <c r="B222" s="205" t="s">
        <v>248</v>
      </c>
      <c r="C222" s="208" t="s">
        <v>2479</v>
      </c>
      <c r="D222" s="221" t="s">
        <v>737</v>
      </c>
      <c r="E222" s="195">
        <v>1</v>
      </c>
      <c r="F222" s="196">
        <f>CPUE!H1097</f>
        <v>27350</v>
      </c>
      <c r="G222" s="196">
        <f>CPUE!I1097</f>
        <v>119.9</v>
      </c>
      <c r="H222" s="196">
        <f t="shared" si="103"/>
        <v>27469.9</v>
      </c>
      <c r="I222" s="196">
        <f t="shared" si="104"/>
        <v>30925.776853492865</v>
      </c>
      <c r="J222" s="189">
        <f t="shared" si="105"/>
        <v>160.41330222380461</v>
      </c>
      <c r="K222" s="196">
        <f t="shared" si="106"/>
        <v>31086.190155716671</v>
      </c>
      <c r="L222" s="709">
        <f t="shared" si="101"/>
        <v>1.1350356820232067E-2</v>
      </c>
      <c r="M222" s="190"/>
      <c r="N222" s="190"/>
      <c r="O222" s="190"/>
    </row>
    <row r="223" spans="1:15" ht="63.75" thickBot="1">
      <c r="A223" s="724" t="s">
        <v>2332</v>
      </c>
      <c r="B223" s="779" t="s">
        <v>249</v>
      </c>
      <c r="C223" s="780" t="s">
        <v>2340</v>
      </c>
      <c r="D223" s="712" t="s">
        <v>737</v>
      </c>
      <c r="E223" s="726">
        <v>1</v>
      </c>
      <c r="F223" s="714">
        <f>CPUE!H1104</f>
        <v>7680</v>
      </c>
      <c r="G223" s="714">
        <f>CPUE!I1104</f>
        <v>119.9</v>
      </c>
      <c r="H223" s="714">
        <f t="shared" si="103"/>
        <v>7799.9</v>
      </c>
      <c r="I223" s="714">
        <f t="shared" si="104"/>
        <v>8684.0938294268817</v>
      </c>
      <c r="J223" s="715">
        <f t="shared" si="105"/>
        <v>160.41330222380461</v>
      </c>
      <c r="K223" s="714">
        <f t="shared" si="106"/>
        <v>8844.5071316506856</v>
      </c>
      <c r="L223" s="716">
        <f t="shared" si="101"/>
        <v>3.2293539780995435E-3</v>
      </c>
      <c r="M223" s="190"/>
      <c r="N223" s="190"/>
      <c r="O223" s="190"/>
    </row>
    <row r="224" spans="1:15" ht="21.75" thickBot="1">
      <c r="A224" s="924" t="s">
        <v>190</v>
      </c>
      <c r="B224" s="925"/>
      <c r="C224" s="926" t="s">
        <v>20</v>
      </c>
      <c r="D224" s="927"/>
      <c r="E224" s="927"/>
      <c r="F224" s="927"/>
      <c r="G224" s="925"/>
      <c r="H224" s="833">
        <f>SUM(H225:H233)</f>
        <v>33737.0622</v>
      </c>
      <c r="I224" s="833">
        <f>SUM(I225:I233)</f>
        <v>26407.720559037843</v>
      </c>
      <c r="J224" s="834">
        <f>SUM(J225:J233)</f>
        <v>15697.387780124993</v>
      </c>
      <c r="K224" s="833">
        <f>SUM(K225:K233)</f>
        <v>42105.108339162834</v>
      </c>
      <c r="L224" s="830">
        <f t="shared" si="101"/>
        <v>1.5373643447784831E-2</v>
      </c>
      <c r="M224" s="190"/>
      <c r="N224" s="190"/>
      <c r="O224" s="190"/>
    </row>
    <row r="225" spans="1:15">
      <c r="A225" s="717" t="s">
        <v>2341</v>
      </c>
      <c r="B225" s="777" t="s">
        <v>250</v>
      </c>
      <c r="C225" s="778" t="s">
        <v>137</v>
      </c>
      <c r="D225" s="789" t="s">
        <v>18</v>
      </c>
      <c r="E225" s="761">
        <v>467</v>
      </c>
      <c r="F225" s="790">
        <f>CPUE!G1108</f>
        <v>8.32</v>
      </c>
      <c r="G225" s="790">
        <f>CPUE!I1111</f>
        <v>5.995000000000001</v>
      </c>
      <c r="H225" s="721">
        <f t="shared" ref="H225:H229" si="107">E225*(F225+G225)</f>
        <v>6685.1050000000005</v>
      </c>
      <c r="I225" s="784">
        <f t="shared" ref="I225:I233" si="108">E225*F225*(1+$G$436)</f>
        <v>4663.0140404900167</v>
      </c>
      <c r="J225" s="722">
        <f t="shared" ref="J225:J233" si="109">E225*G225*(1+$G$436)*(1+$H$7)</f>
        <v>3745.6506069258385</v>
      </c>
      <c r="K225" s="721">
        <f t="shared" ref="K225:K229" si="110">I225+J225</f>
        <v>8408.6646474158551</v>
      </c>
      <c r="L225" s="723">
        <f t="shared" si="101"/>
        <v>3.0702168278504659E-3</v>
      </c>
      <c r="M225" s="190"/>
      <c r="N225" s="190"/>
      <c r="O225" s="190"/>
    </row>
    <row r="226" spans="1:15">
      <c r="A226" s="710" t="s">
        <v>2345</v>
      </c>
      <c r="B226" s="205" t="s">
        <v>240</v>
      </c>
      <c r="C226" s="208" t="s">
        <v>138</v>
      </c>
      <c r="D226" s="207" t="s">
        <v>18</v>
      </c>
      <c r="E226" s="203">
        <v>994</v>
      </c>
      <c r="F226" s="791">
        <f>CPUE!H1118</f>
        <v>8.4</v>
      </c>
      <c r="G226" s="791">
        <f>CPUE!I1118</f>
        <v>5.995000000000001</v>
      </c>
      <c r="H226" s="196">
        <f t="shared" si="107"/>
        <v>14308.630000000001</v>
      </c>
      <c r="I226" s="786">
        <f t="shared" si="108"/>
        <v>10020.564474673511</v>
      </c>
      <c r="J226" s="189">
        <f t="shared" si="109"/>
        <v>7972.5411205230894</v>
      </c>
      <c r="K226" s="196">
        <f t="shared" si="110"/>
        <v>17993.105595196601</v>
      </c>
      <c r="L226" s="709">
        <f t="shared" si="101"/>
        <v>6.5697394176184839E-3</v>
      </c>
      <c r="M226" s="190"/>
      <c r="N226" s="190"/>
      <c r="O226" s="190"/>
    </row>
    <row r="227" spans="1:15">
      <c r="A227" s="710" t="s">
        <v>2346</v>
      </c>
      <c r="B227" s="205" t="s">
        <v>251</v>
      </c>
      <c r="C227" s="206" t="s">
        <v>333</v>
      </c>
      <c r="D227" s="207" t="s">
        <v>4</v>
      </c>
      <c r="E227" s="203">
        <v>371</v>
      </c>
      <c r="F227" s="791">
        <f>CPUE!H1124</f>
        <v>10.4</v>
      </c>
      <c r="G227" s="792">
        <f>CPUE!I1124</f>
        <v>2.6960000000000002</v>
      </c>
      <c r="H227" s="786">
        <f t="shared" si="107"/>
        <v>4858.616</v>
      </c>
      <c r="I227" s="786">
        <f t="shared" si="108"/>
        <v>4630.5626579812533</v>
      </c>
      <c r="J227" s="189">
        <f t="shared" si="109"/>
        <v>1338.1814136537528</v>
      </c>
      <c r="K227" s="786">
        <f t="shared" si="110"/>
        <v>5968.7440716350065</v>
      </c>
      <c r="L227" s="709">
        <f t="shared" si="101"/>
        <v>2.1793399140371513E-3</v>
      </c>
      <c r="M227" s="190"/>
      <c r="N227" s="190"/>
      <c r="O227" s="190"/>
    </row>
    <row r="228" spans="1:15">
      <c r="A228" s="710" t="s">
        <v>2347</v>
      </c>
      <c r="B228" s="205" t="s">
        <v>252</v>
      </c>
      <c r="C228" s="206" t="s">
        <v>139</v>
      </c>
      <c r="D228" s="207" t="s">
        <v>13</v>
      </c>
      <c r="E228" s="203">
        <v>11</v>
      </c>
      <c r="F228" s="792">
        <f>CPUE!H1130</f>
        <v>12.5</v>
      </c>
      <c r="G228" s="792">
        <f>CPUE!I1130</f>
        <v>1.6175999999999999</v>
      </c>
      <c r="H228" s="786">
        <f t="shared" si="107"/>
        <v>155.2936</v>
      </c>
      <c r="I228" s="786">
        <f t="shared" si="108"/>
        <v>165.01720025721082</v>
      </c>
      <c r="J228" s="189">
        <f t="shared" si="109"/>
        <v>23.805922722681316</v>
      </c>
      <c r="K228" s="786">
        <f t="shared" si="110"/>
        <v>188.82312297989213</v>
      </c>
      <c r="L228" s="709">
        <f t="shared" si="101"/>
        <v>6.8944113479219845E-5</v>
      </c>
      <c r="M228" s="190"/>
      <c r="N228" s="190"/>
      <c r="O228" s="190"/>
    </row>
    <row r="229" spans="1:15">
      <c r="A229" s="710" t="s">
        <v>2348</v>
      </c>
      <c r="B229" s="205" t="s">
        <v>253</v>
      </c>
      <c r="C229" s="206" t="s">
        <v>140</v>
      </c>
      <c r="D229" s="207" t="s">
        <v>13</v>
      </c>
      <c r="E229" s="203">
        <v>16</v>
      </c>
      <c r="F229" s="792">
        <f>CPUE!H1136</f>
        <v>16.100000000000001</v>
      </c>
      <c r="G229" s="792">
        <f>CPUE!I1136</f>
        <v>1.6175999999999999</v>
      </c>
      <c r="H229" s="786">
        <f t="shared" si="107"/>
        <v>283.48160000000001</v>
      </c>
      <c r="I229" s="786">
        <f t="shared" si="108"/>
        <v>309.15222390005465</v>
      </c>
      <c r="J229" s="189">
        <f t="shared" si="109"/>
        <v>34.626796687536455</v>
      </c>
      <c r="K229" s="786">
        <f t="shared" si="110"/>
        <v>343.77902058759111</v>
      </c>
      <c r="L229" s="709">
        <f t="shared" si="101"/>
        <v>1.2552244361348648E-4</v>
      </c>
      <c r="M229" s="190"/>
      <c r="N229" s="190"/>
      <c r="O229" s="190"/>
    </row>
    <row r="230" spans="1:15">
      <c r="A230" s="710" t="s">
        <v>2349</v>
      </c>
      <c r="B230" s="205" t="s">
        <v>254</v>
      </c>
      <c r="C230" s="206" t="s">
        <v>1132</v>
      </c>
      <c r="D230" s="207" t="s">
        <v>13</v>
      </c>
      <c r="E230" s="203">
        <v>110</v>
      </c>
      <c r="F230" s="792">
        <f>CPUE!H1142</f>
        <v>19.2</v>
      </c>
      <c r="G230" s="792">
        <f>CPUE!I1142</f>
        <v>5.3920000000000003</v>
      </c>
      <c r="H230" s="786">
        <f t="shared" ref="H230:H232" si="111">E230*(F230+G230)</f>
        <v>2705.12</v>
      </c>
      <c r="I230" s="786">
        <f t="shared" si="108"/>
        <v>2534.6641959507583</v>
      </c>
      <c r="J230" s="189">
        <f t="shared" si="109"/>
        <v>793.53075742271051</v>
      </c>
      <c r="K230" s="786">
        <f t="shared" ref="K230:K232" si="112">I230+J230</f>
        <v>3328.1949533734687</v>
      </c>
      <c r="L230" s="709">
        <f t="shared" si="101"/>
        <v>1.2152084285290761E-3</v>
      </c>
      <c r="M230" s="190"/>
      <c r="N230" s="190"/>
      <c r="O230" s="190"/>
    </row>
    <row r="231" spans="1:15">
      <c r="A231" s="710" t="s">
        <v>2350</v>
      </c>
      <c r="B231" s="205" t="s">
        <v>908</v>
      </c>
      <c r="C231" s="194" t="s">
        <v>860</v>
      </c>
      <c r="D231" s="221" t="s">
        <v>737</v>
      </c>
      <c r="E231" s="203">
        <v>440</v>
      </c>
      <c r="F231" s="791">
        <f>CPUE!H1148</f>
        <v>2.35</v>
      </c>
      <c r="G231" s="791">
        <f>CPUE!I1148</f>
        <v>1.6175999999999999</v>
      </c>
      <c r="H231" s="786">
        <f t="shared" si="111"/>
        <v>1745.7439999999999</v>
      </c>
      <c r="I231" s="786">
        <f t="shared" si="108"/>
        <v>1240.9293459342255</v>
      </c>
      <c r="J231" s="189">
        <f t="shared" si="109"/>
        <v>952.23690890725254</v>
      </c>
      <c r="K231" s="786">
        <f t="shared" si="112"/>
        <v>2193.1662548414779</v>
      </c>
      <c r="L231" s="709">
        <f t="shared" si="101"/>
        <v>8.0078064998791707E-4</v>
      </c>
      <c r="M231" s="190"/>
      <c r="N231" s="190"/>
      <c r="O231" s="190"/>
    </row>
    <row r="232" spans="1:15">
      <c r="A232" s="710" t="s">
        <v>2351</v>
      </c>
      <c r="B232" s="205" t="s">
        <v>909</v>
      </c>
      <c r="C232" s="194" t="s">
        <v>861</v>
      </c>
      <c r="D232" s="221" t="s">
        <v>737</v>
      </c>
      <c r="E232" s="203">
        <v>440</v>
      </c>
      <c r="F232" s="791">
        <f>CPUE!H1154</f>
        <v>1.99</v>
      </c>
      <c r="G232" s="791">
        <f>CPUE!I1154</f>
        <v>0.53920000000000001</v>
      </c>
      <c r="H232" s="786">
        <f t="shared" si="111"/>
        <v>1112.848</v>
      </c>
      <c r="I232" s="786">
        <f t="shared" si="108"/>
        <v>1050.8295312379187</v>
      </c>
      <c r="J232" s="189">
        <f t="shared" si="109"/>
        <v>317.41230296908424</v>
      </c>
      <c r="K232" s="786">
        <f t="shared" si="112"/>
        <v>1368.241834207003</v>
      </c>
      <c r="L232" s="709">
        <f t="shared" si="101"/>
        <v>4.9957981202667105E-4</v>
      </c>
      <c r="M232" s="190"/>
      <c r="N232" s="190"/>
      <c r="O232" s="190"/>
    </row>
    <row r="233" spans="1:15" ht="21.75" thickBot="1">
      <c r="A233" s="724" t="s">
        <v>2352</v>
      </c>
      <c r="B233" s="779" t="s">
        <v>910</v>
      </c>
      <c r="C233" s="780" t="s">
        <v>905</v>
      </c>
      <c r="D233" s="793" t="s">
        <v>13</v>
      </c>
      <c r="E233" s="763">
        <v>180</v>
      </c>
      <c r="F233" s="794">
        <f>CPUE!H1160</f>
        <v>8.3000000000000007</v>
      </c>
      <c r="G233" s="794">
        <f>CPUE!I1160</f>
        <v>2.1568000000000001</v>
      </c>
      <c r="H233" s="795">
        <f t="shared" ref="H233" si="113">E233*(F233+G233)</f>
        <v>1882.2240000000002</v>
      </c>
      <c r="I233" s="795">
        <f t="shared" si="108"/>
        <v>1792.9868886128947</v>
      </c>
      <c r="J233" s="715">
        <f t="shared" si="109"/>
        <v>519.40195031304688</v>
      </c>
      <c r="K233" s="795">
        <f t="shared" ref="K233" si="114">I233+J233</f>
        <v>2312.3888389259419</v>
      </c>
      <c r="L233" s="716">
        <f t="shared" si="101"/>
        <v>8.4431184064236056E-4</v>
      </c>
      <c r="M233" s="190"/>
      <c r="N233" s="190"/>
      <c r="O233" s="190"/>
    </row>
    <row r="234" spans="1:15" ht="21.75" thickBot="1">
      <c r="A234" s="924" t="s">
        <v>191</v>
      </c>
      <c r="B234" s="925"/>
      <c r="C234" s="926" t="s">
        <v>144</v>
      </c>
      <c r="D234" s="927"/>
      <c r="E234" s="927"/>
      <c r="F234" s="927"/>
      <c r="G234" s="925"/>
      <c r="H234" s="833">
        <f>SUM(H235:H239)</f>
        <v>17443.419999999998</v>
      </c>
      <c r="I234" s="833">
        <f>SUM(I235:I239)</f>
        <v>20099.695053874668</v>
      </c>
      <c r="J234" s="834">
        <f>SUM(J235:J239)</f>
        <v>930.39715289806691</v>
      </c>
      <c r="K234" s="833">
        <f>SUM(K235:K240)</f>
        <v>43261.168403291173</v>
      </c>
      <c r="L234" s="830">
        <f t="shared" si="101"/>
        <v>1.5795750311564147E-2</v>
      </c>
      <c r="M234" s="190"/>
      <c r="N234" s="190"/>
      <c r="O234" s="190"/>
    </row>
    <row r="235" spans="1:15" ht="42">
      <c r="A235" s="717" t="s">
        <v>2353</v>
      </c>
      <c r="B235" s="777" t="s">
        <v>255</v>
      </c>
      <c r="C235" s="781" t="s">
        <v>911</v>
      </c>
      <c r="D235" s="741" t="s">
        <v>737</v>
      </c>
      <c r="E235" s="782">
        <v>7</v>
      </c>
      <c r="F235" s="783">
        <f>CPUE!H1167</f>
        <v>322</v>
      </c>
      <c r="G235" s="784">
        <f>CPUE!I1167</f>
        <v>11.990000000000002</v>
      </c>
      <c r="H235" s="784">
        <f t="shared" ref="H235:H240" si="115">E235*(F235+G235)</f>
        <v>2337.9300000000003</v>
      </c>
      <c r="I235" s="784">
        <f t="shared" ref="I235:I240" si="116">E235*F235*(1+$G$436)</f>
        <v>2705.0819591254781</v>
      </c>
      <c r="J235" s="722">
        <f t="shared" ref="J235:J240" si="117">E235*G235*(1+$G$436)*(1+$H$7)</f>
        <v>112.28931155666324</v>
      </c>
      <c r="K235" s="784">
        <f t="shared" ref="K235:K240" si="118">I235+J235</f>
        <v>2817.3712706821411</v>
      </c>
      <c r="L235" s="723">
        <f t="shared" si="101"/>
        <v>1.0286937401183019E-3</v>
      </c>
      <c r="M235" s="190"/>
      <c r="N235" s="190"/>
      <c r="O235" s="190"/>
    </row>
    <row r="236" spans="1:15" ht="42">
      <c r="A236" s="710" t="s">
        <v>2354</v>
      </c>
      <c r="B236" s="205" t="s">
        <v>256</v>
      </c>
      <c r="C236" s="206" t="s">
        <v>912</v>
      </c>
      <c r="D236" s="221" t="s">
        <v>737</v>
      </c>
      <c r="E236" s="773">
        <v>4</v>
      </c>
      <c r="F236" s="785">
        <f>CPUE!H1174</f>
        <v>166</v>
      </c>
      <c r="G236" s="786">
        <f>CPUE!I1174</f>
        <v>11.990000000000002</v>
      </c>
      <c r="H236" s="786">
        <f t="shared" si="115"/>
        <v>711.96</v>
      </c>
      <c r="I236" s="786">
        <f t="shared" si="116"/>
        <v>796.88306160573086</v>
      </c>
      <c r="J236" s="189">
        <f t="shared" si="117"/>
        <v>64.165320889521851</v>
      </c>
      <c r="K236" s="786">
        <f t="shared" si="118"/>
        <v>861.04838249525267</v>
      </c>
      <c r="L236" s="709">
        <f t="shared" si="101"/>
        <v>3.1439061306158522E-4</v>
      </c>
      <c r="M236" s="190"/>
      <c r="N236" s="190"/>
      <c r="O236" s="190"/>
    </row>
    <row r="237" spans="1:15" ht="42">
      <c r="A237" s="710" t="s">
        <v>2355</v>
      </c>
      <c r="B237" s="205" t="s">
        <v>257</v>
      </c>
      <c r="C237" s="206" t="s">
        <v>2447</v>
      </c>
      <c r="D237" s="221" t="s">
        <v>737</v>
      </c>
      <c r="E237" s="773">
        <v>9</v>
      </c>
      <c r="F237" s="785">
        <f>CPUE!H1181</f>
        <v>450</v>
      </c>
      <c r="G237" s="786">
        <f>CPUE!I1181</f>
        <v>11.990000000000002</v>
      </c>
      <c r="H237" s="786">
        <f t="shared" si="115"/>
        <v>4157.91</v>
      </c>
      <c r="I237" s="786">
        <f t="shared" si="116"/>
        <v>4860.5066257578465</v>
      </c>
      <c r="J237" s="189">
        <f t="shared" si="117"/>
        <v>144.37197200142418</v>
      </c>
      <c r="K237" s="786">
        <f t="shared" si="118"/>
        <v>5004.8785977592706</v>
      </c>
      <c r="L237" s="709">
        <f t="shared" si="101"/>
        <v>1.8274081719873848E-3</v>
      </c>
      <c r="M237" s="190"/>
      <c r="N237" s="190"/>
      <c r="O237" s="190"/>
    </row>
    <row r="238" spans="1:15" ht="42">
      <c r="A238" s="710" t="s">
        <v>2356</v>
      </c>
      <c r="B238" s="205" t="s">
        <v>258</v>
      </c>
      <c r="C238" s="206" t="s">
        <v>2448</v>
      </c>
      <c r="D238" s="221" t="s">
        <v>737</v>
      </c>
      <c r="E238" s="773">
        <v>14</v>
      </c>
      <c r="F238" s="785">
        <f>CPUE!H1188</f>
        <v>270</v>
      </c>
      <c r="G238" s="786">
        <f>CPUE!I1188</f>
        <v>11.990000000000002</v>
      </c>
      <c r="H238" s="786">
        <f t="shared" si="115"/>
        <v>3947.86</v>
      </c>
      <c r="I238" s="786">
        <f t="shared" si="116"/>
        <v>4536.4728507073232</v>
      </c>
      <c r="J238" s="189">
        <f t="shared" si="117"/>
        <v>224.57862311332647</v>
      </c>
      <c r="K238" s="786">
        <f t="shared" si="118"/>
        <v>4761.0514738206493</v>
      </c>
      <c r="L238" s="709">
        <f t="shared" si="101"/>
        <v>1.7383807020629187E-3</v>
      </c>
      <c r="M238" s="190"/>
      <c r="N238" s="190"/>
      <c r="O238" s="190"/>
    </row>
    <row r="239" spans="1:15" ht="42">
      <c r="A239" s="710" t="s">
        <v>2357</v>
      </c>
      <c r="B239" s="205" t="s">
        <v>259</v>
      </c>
      <c r="C239" s="206" t="s">
        <v>2449</v>
      </c>
      <c r="D239" s="221" t="s">
        <v>737</v>
      </c>
      <c r="E239" s="773">
        <v>24</v>
      </c>
      <c r="F239" s="785">
        <f>CPUE!H1195</f>
        <v>250</v>
      </c>
      <c r="G239" s="786">
        <f>CPUE!I1195</f>
        <v>11.990000000000002</v>
      </c>
      <c r="H239" s="786">
        <f t="shared" si="115"/>
        <v>6287.76</v>
      </c>
      <c r="I239" s="786">
        <f t="shared" si="116"/>
        <v>7200.7505566782911</v>
      </c>
      <c r="J239" s="189">
        <f t="shared" si="117"/>
        <v>384.99192533713114</v>
      </c>
      <c r="K239" s="786">
        <f t="shared" si="118"/>
        <v>7585.742482015422</v>
      </c>
      <c r="L239" s="709">
        <f t="shared" si="101"/>
        <v>2.769747064081255E-3</v>
      </c>
      <c r="M239" s="190"/>
      <c r="N239" s="190"/>
      <c r="O239" s="190"/>
    </row>
    <row r="240" spans="1:15" ht="21.75" thickBot="1">
      <c r="A240" s="724" t="s">
        <v>2358</v>
      </c>
      <c r="B240" s="779" t="s">
        <v>2272</v>
      </c>
      <c r="C240" s="780" t="s">
        <v>2273</v>
      </c>
      <c r="D240" s="712" t="s">
        <v>737</v>
      </c>
      <c r="E240" s="787">
        <v>6</v>
      </c>
      <c r="F240" s="788">
        <f>CPUE!H1202</f>
        <v>2820</v>
      </c>
      <c r="G240" s="714">
        <f>CPUE!I1202</f>
        <v>239.8</v>
      </c>
      <c r="H240" s="714">
        <f t="shared" si="115"/>
        <v>18358.800000000003</v>
      </c>
      <c r="I240" s="714">
        <f t="shared" si="116"/>
        <v>20306.116569832779</v>
      </c>
      <c r="J240" s="715">
        <f t="shared" si="117"/>
        <v>1924.9596266856554</v>
      </c>
      <c r="K240" s="714">
        <f t="shared" si="118"/>
        <v>22231.076196518436</v>
      </c>
      <c r="L240" s="716">
        <f t="shared" si="101"/>
        <v>8.1171300202527007E-3</v>
      </c>
      <c r="M240" s="190"/>
      <c r="N240" s="190"/>
      <c r="O240" s="190"/>
    </row>
    <row r="241" spans="1:15" ht="21.75" thickBot="1">
      <c r="A241" s="924" t="s">
        <v>192</v>
      </c>
      <c r="B241" s="925"/>
      <c r="C241" s="926" t="s">
        <v>141</v>
      </c>
      <c r="D241" s="927"/>
      <c r="E241" s="927"/>
      <c r="F241" s="927"/>
      <c r="G241" s="925"/>
      <c r="H241" s="833">
        <f>SUM(H242:H296)</f>
        <v>67945.494438000009</v>
      </c>
      <c r="I241" s="833">
        <f>SUM(I242:I296)</f>
        <v>75647.112934405028</v>
      </c>
      <c r="J241" s="834">
        <f>SUM(J242:J296)</f>
        <v>6572.8038622130307</v>
      </c>
      <c r="K241" s="833">
        <f>SUM(K242:K296)</f>
        <v>82219.916796618068</v>
      </c>
      <c r="L241" s="830">
        <f t="shared" si="101"/>
        <v>3.0020577906031663E-2</v>
      </c>
      <c r="M241" s="190"/>
      <c r="N241" s="190"/>
      <c r="O241" s="190"/>
    </row>
    <row r="242" spans="1:15" ht="63">
      <c r="A242" s="717" t="s">
        <v>2433</v>
      </c>
      <c r="B242" s="777" t="s">
        <v>260</v>
      </c>
      <c r="C242" s="781" t="s">
        <v>966</v>
      </c>
      <c r="D242" s="789" t="s">
        <v>13</v>
      </c>
      <c r="E242" s="761">
        <v>100.77</v>
      </c>
      <c r="F242" s="790">
        <f>CPUE!H1708</f>
        <v>98</v>
      </c>
      <c r="G242" s="790">
        <f>CPUE!I1708</f>
        <v>10.736519999999999</v>
      </c>
      <c r="H242" s="784">
        <f t="shared" ref="H242:H296" si="119">E242*(F242+G242)</f>
        <v>10957.379120399999</v>
      </c>
      <c r="I242" s="784">
        <f t="shared" ref="I242:I273" si="120">E242*F242*(1+$G$436)</f>
        <v>11851.787348742364</v>
      </c>
      <c r="J242" s="722">
        <f t="shared" ref="J242:J273" si="121">E242*G242*(1+$G$436)*(1+$H$7)</f>
        <v>1447.4913998535283</v>
      </c>
      <c r="K242" s="784">
        <f t="shared" ref="K242:K296" si="122">I242+J242</f>
        <v>13299.278748595892</v>
      </c>
      <c r="L242" s="723">
        <f t="shared" si="101"/>
        <v>4.8559041327402149E-3</v>
      </c>
      <c r="M242" s="190"/>
      <c r="N242" s="190"/>
      <c r="O242" s="190"/>
    </row>
    <row r="243" spans="1:15" ht="63">
      <c r="A243" s="710" t="s">
        <v>2434</v>
      </c>
      <c r="B243" s="205" t="s">
        <v>261</v>
      </c>
      <c r="C243" s="206" t="s">
        <v>967</v>
      </c>
      <c r="D243" s="207" t="s">
        <v>13</v>
      </c>
      <c r="E243" s="203">
        <v>40.549999999999997</v>
      </c>
      <c r="F243" s="791">
        <f>CPUE!H1715</f>
        <v>115</v>
      </c>
      <c r="G243" s="791">
        <f>CPUE!I1715</f>
        <v>10.736519999999999</v>
      </c>
      <c r="H243" s="786">
        <f t="shared" si="119"/>
        <v>5098.6158859999996</v>
      </c>
      <c r="I243" s="786">
        <f t="shared" si="120"/>
        <v>5596.4833389050063</v>
      </c>
      <c r="J243" s="189">
        <f t="shared" si="121"/>
        <v>582.47272267600044</v>
      </c>
      <c r="K243" s="786">
        <f t="shared" si="122"/>
        <v>6178.9560615810069</v>
      </c>
      <c r="L243" s="709">
        <f t="shared" si="101"/>
        <v>2.2560936455760213E-3</v>
      </c>
      <c r="M243" s="190"/>
      <c r="N243" s="190"/>
      <c r="O243" s="190"/>
    </row>
    <row r="244" spans="1:15" ht="63">
      <c r="A244" s="710" t="s">
        <v>2435</v>
      </c>
      <c r="B244" s="205" t="s">
        <v>913</v>
      </c>
      <c r="C244" s="206" t="s">
        <v>968</v>
      </c>
      <c r="D244" s="207" t="s">
        <v>13</v>
      </c>
      <c r="E244" s="203">
        <v>15.1</v>
      </c>
      <c r="F244" s="791">
        <f>CPUE!H1722</f>
        <v>128</v>
      </c>
      <c r="G244" s="791">
        <f>CPUE!I1722</f>
        <v>10.736519999999999</v>
      </c>
      <c r="H244" s="786">
        <f t="shared" si="119"/>
        <v>2094.9214519999996</v>
      </c>
      <c r="I244" s="786">
        <f t="shared" si="120"/>
        <v>2319.6017793246333</v>
      </c>
      <c r="J244" s="189">
        <f t="shared" si="121"/>
        <v>216.90106319130965</v>
      </c>
      <c r="K244" s="786">
        <f t="shared" si="122"/>
        <v>2536.502842515943</v>
      </c>
      <c r="L244" s="709">
        <f t="shared" si="101"/>
        <v>9.2614155011833804E-4</v>
      </c>
      <c r="M244" s="190"/>
      <c r="N244" s="190"/>
      <c r="O244" s="190"/>
    </row>
    <row r="245" spans="1:15" ht="63">
      <c r="A245" s="710" t="s">
        <v>2436</v>
      </c>
      <c r="B245" s="205" t="s">
        <v>914</v>
      </c>
      <c r="C245" s="206" t="s">
        <v>969</v>
      </c>
      <c r="D245" s="207" t="s">
        <v>13</v>
      </c>
      <c r="E245" s="203">
        <v>11.74</v>
      </c>
      <c r="F245" s="791">
        <f>CPUE!H1729</f>
        <v>142</v>
      </c>
      <c r="G245" s="791">
        <f>CPUE!I1729</f>
        <v>10.736519999999999</v>
      </c>
      <c r="H245" s="786">
        <f t="shared" si="119"/>
        <v>1793.1267447999999</v>
      </c>
      <c r="I245" s="786">
        <f t="shared" si="120"/>
        <v>2000.7045396712074</v>
      </c>
      <c r="J245" s="189">
        <f t="shared" si="121"/>
        <v>168.63698555403812</v>
      </c>
      <c r="K245" s="786">
        <f t="shared" si="122"/>
        <v>2169.3415252252453</v>
      </c>
      <c r="L245" s="709">
        <f t="shared" si="101"/>
        <v>7.920816366660784E-4</v>
      </c>
      <c r="M245" s="190"/>
      <c r="N245" s="190"/>
      <c r="O245" s="190"/>
    </row>
    <row r="246" spans="1:15" ht="63">
      <c r="A246" s="710" t="s">
        <v>2437</v>
      </c>
      <c r="B246" s="205" t="s">
        <v>915</v>
      </c>
      <c r="C246" s="206" t="s">
        <v>970</v>
      </c>
      <c r="D246" s="207" t="s">
        <v>13</v>
      </c>
      <c r="E246" s="203">
        <v>8.74</v>
      </c>
      <c r="F246" s="791">
        <f>CPUE!H1736</f>
        <v>160</v>
      </c>
      <c r="G246" s="791">
        <f>CPUE!I1736</f>
        <v>10.736519999999999</v>
      </c>
      <c r="H246" s="786">
        <f t="shared" si="119"/>
        <v>1492.2371847999998</v>
      </c>
      <c r="I246" s="786">
        <f t="shared" si="120"/>
        <v>1678.2549297431538</v>
      </c>
      <c r="J246" s="189">
        <f t="shared" si="121"/>
        <v>125.5440590921885</v>
      </c>
      <c r="K246" s="786">
        <f t="shared" si="122"/>
        <v>1803.7989888353422</v>
      </c>
      <c r="L246" s="709">
        <f t="shared" si="101"/>
        <v>6.586127811963429E-4</v>
      </c>
      <c r="M246" s="190"/>
      <c r="N246" s="190"/>
      <c r="O246" s="190"/>
    </row>
    <row r="247" spans="1:15">
      <c r="A247" s="710" t="s">
        <v>2359</v>
      </c>
      <c r="B247" s="205" t="s">
        <v>916</v>
      </c>
      <c r="C247" s="209" t="s">
        <v>971</v>
      </c>
      <c r="D247" s="221" t="s">
        <v>737</v>
      </c>
      <c r="E247" s="203">
        <v>28</v>
      </c>
      <c r="F247" s="791">
        <f>CPUE!H1209</f>
        <v>6</v>
      </c>
      <c r="G247" s="791">
        <f>CPUE!I1209</f>
        <v>7.8664500000000004</v>
      </c>
      <c r="H247" s="786">
        <f t="shared" si="119"/>
        <v>388.26060000000001</v>
      </c>
      <c r="I247" s="786">
        <f t="shared" si="120"/>
        <v>201.62101558699214</v>
      </c>
      <c r="J247" s="189">
        <f t="shared" si="121"/>
        <v>294.68498912257331</v>
      </c>
      <c r="K247" s="786">
        <f t="shared" si="122"/>
        <v>496.30600470956546</v>
      </c>
      <c r="L247" s="709">
        <f t="shared" si="101"/>
        <v>1.8121391580181798E-4</v>
      </c>
      <c r="M247" s="190"/>
      <c r="N247" s="190"/>
      <c r="O247" s="190"/>
    </row>
    <row r="248" spans="1:15">
      <c r="A248" s="710" t="s">
        <v>2360</v>
      </c>
      <c r="B248" s="205" t="s">
        <v>917</v>
      </c>
      <c r="C248" s="209" t="s">
        <v>972</v>
      </c>
      <c r="D248" s="221" t="s">
        <v>737</v>
      </c>
      <c r="E248" s="203">
        <v>12</v>
      </c>
      <c r="F248" s="791">
        <f>CPUE!H1216</f>
        <v>9.8000000000000007</v>
      </c>
      <c r="G248" s="791">
        <f>CPUE!I1216</f>
        <v>7.8664500000000004</v>
      </c>
      <c r="H248" s="786">
        <f t="shared" si="119"/>
        <v>211.99740000000003</v>
      </c>
      <c r="I248" s="786">
        <f t="shared" si="120"/>
        <v>141.13471091089451</v>
      </c>
      <c r="J248" s="189">
        <f t="shared" si="121"/>
        <v>126.29356676681714</v>
      </c>
      <c r="K248" s="786">
        <f t="shared" si="122"/>
        <v>267.42827767771166</v>
      </c>
      <c r="L248" s="709">
        <f t="shared" si="101"/>
        <v>9.7644850020449538E-5</v>
      </c>
      <c r="M248" s="190"/>
      <c r="N248" s="190"/>
      <c r="O248" s="190"/>
    </row>
    <row r="249" spans="1:15">
      <c r="A249" s="710" t="s">
        <v>2361</v>
      </c>
      <c r="B249" s="205" t="s">
        <v>918</v>
      </c>
      <c r="C249" s="209" t="s">
        <v>973</v>
      </c>
      <c r="D249" s="221" t="s">
        <v>737</v>
      </c>
      <c r="E249" s="203">
        <v>4</v>
      </c>
      <c r="F249" s="791">
        <f>CPUE!H1223</f>
        <v>12.1</v>
      </c>
      <c r="G249" s="791">
        <f>CPUE!I1223</f>
        <v>7.8664500000000004</v>
      </c>
      <c r="H249" s="786">
        <f t="shared" si="119"/>
        <v>79.865800000000007</v>
      </c>
      <c r="I249" s="786">
        <f t="shared" si="120"/>
        <v>58.08605449053821</v>
      </c>
      <c r="J249" s="189">
        <f t="shared" si="121"/>
        <v>42.097855588939041</v>
      </c>
      <c r="K249" s="786">
        <f t="shared" si="122"/>
        <v>100.18391007947724</v>
      </c>
      <c r="L249" s="709">
        <f t="shared" si="101"/>
        <v>3.6579687679707398E-5</v>
      </c>
      <c r="M249" s="190"/>
      <c r="N249" s="190"/>
      <c r="O249" s="190"/>
    </row>
    <row r="250" spans="1:15">
      <c r="A250" s="710" t="s">
        <v>2362</v>
      </c>
      <c r="B250" s="205" t="s">
        <v>919</v>
      </c>
      <c r="C250" s="209" t="s">
        <v>974</v>
      </c>
      <c r="D250" s="221" t="s">
        <v>737</v>
      </c>
      <c r="E250" s="203">
        <v>6</v>
      </c>
      <c r="F250" s="791">
        <f>CPUE!H1230</f>
        <v>15.1</v>
      </c>
      <c r="G250" s="791">
        <f>CPUE!I1230</f>
        <v>7.8664500000000004</v>
      </c>
      <c r="H250" s="786">
        <f t="shared" si="119"/>
        <v>137.7987</v>
      </c>
      <c r="I250" s="786">
        <f t="shared" si="120"/>
        <v>108.73133340584218</v>
      </c>
      <c r="J250" s="189">
        <f t="shared" si="121"/>
        <v>63.146783383408568</v>
      </c>
      <c r="K250" s="786">
        <f t="shared" si="122"/>
        <v>171.87811678925075</v>
      </c>
      <c r="L250" s="709">
        <f t="shared" si="101"/>
        <v>6.2757061749130246E-5</v>
      </c>
      <c r="M250" s="190"/>
      <c r="N250" s="190"/>
      <c r="O250" s="190"/>
    </row>
    <row r="251" spans="1:15">
      <c r="A251" s="710" t="s">
        <v>2363</v>
      </c>
      <c r="B251" s="205" t="s">
        <v>920</v>
      </c>
      <c r="C251" s="209" t="s">
        <v>975</v>
      </c>
      <c r="D251" s="221" t="s">
        <v>737</v>
      </c>
      <c r="E251" s="203">
        <v>10</v>
      </c>
      <c r="F251" s="791">
        <f>CPUE!H1237</f>
        <v>14.2</v>
      </c>
      <c r="G251" s="791">
        <f>CPUE!I1237</f>
        <v>7.8664500000000004</v>
      </c>
      <c r="H251" s="786">
        <f t="shared" si="119"/>
        <v>220.6645</v>
      </c>
      <c r="I251" s="786">
        <f t="shared" si="120"/>
        <v>170.41776317471954</v>
      </c>
      <c r="J251" s="189">
        <f t="shared" si="121"/>
        <v>105.24463897234762</v>
      </c>
      <c r="K251" s="786">
        <f t="shared" si="122"/>
        <v>275.66240214706716</v>
      </c>
      <c r="L251" s="709">
        <f t="shared" si="101"/>
        <v>1.0065133780043251E-4</v>
      </c>
      <c r="M251" s="190"/>
      <c r="N251" s="190"/>
      <c r="O251" s="190"/>
    </row>
    <row r="252" spans="1:15">
      <c r="A252" s="710" t="s">
        <v>2364</v>
      </c>
      <c r="B252" s="205" t="s">
        <v>921</v>
      </c>
      <c r="C252" s="209" t="s">
        <v>976</v>
      </c>
      <c r="D252" s="221" t="s">
        <v>737</v>
      </c>
      <c r="E252" s="203">
        <v>8</v>
      </c>
      <c r="F252" s="791">
        <f>CPUE!H1244</f>
        <v>15.8</v>
      </c>
      <c r="G252" s="791">
        <f>CPUE!I1244</f>
        <v>7.8664500000000004</v>
      </c>
      <c r="H252" s="786">
        <f t="shared" si="119"/>
        <v>189.33160000000001</v>
      </c>
      <c r="I252" s="786">
        <f t="shared" si="120"/>
        <v>151.69581172735599</v>
      </c>
      <c r="J252" s="189">
        <f t="shared" si="121"/>
        <v>84.195711177878081</v>
      </c>
      <c r="K252" s="786">
        <f t="shared" si="122"/>
        <v>235.89152290523407</v>
      </c>
      <c r="L252" s="709">
        <f t="shared" si="101"/>
        <v>8.6129980625817393E-5</v>
      </c>
      <c r="M252" s="190"/>
      <c r="N252" s="190"/>
      <c r="O252" s="190"/>
    </row>
    <row r="253" spans="1:15">
      <c r="A253" s="710" t="s">
        <v>2365</v>
      </c>
      <c r="B253" s="205" t="s">
        <v>922</v>
      </c>
      <c r="C253" s="209" t="s">
        <v>977</v>
      </c>
      <c r="D253" s="221" t="s">
        <v>737</v>
      </c>
      <c r="E253" s="203">
        <v>4</v>
      </c>
      <c r="F253" s="791">
        <f>CPUE!H1251</f>
        <v>18.5</v>
      </c>
      <c r="G253" s="791">
        <f>CPUE!I1251</f>
        <v>7.8664500000000004</v>
      </c>
      <c r="H253" s="786">
        <f t="shared" si="119"/>
        <v>105.4658</v>
      </c>
      <c r="I253" s="786">
        <f t="shared" si="120"/>
        <v>88.809256865698913</v>
      </c>
      <c r="J253" s="189">
        <f t="shared" si="121"/>
        <v>42.097855588939041</v>
      </c>
      <c r="K253" s="786">
        <f t="shared" si="122"/>
        <v>130.90711245463797</v>
      </c>
      <c r="L253" s="709">
        <f t="shared" si="101"/>
        <v>4.7797508450650184E-5</v>
      </c>
      <c r="M253" s="190"/>
      <c r="N253" s="190"/>
      <c r="O253" s="190"/>
    </row>
    <row r="254" spans="1:15">
      <c r="A254" s="710" t="s">
        <v>2366</v>
      </c>
      <c r="B254" s="205" t="s">
        <v>923</v>
      </c>
      <c r="C254" s="209" t="s">
        <v>978</v>
      </c>
      <c r="D254" s="221" t="s">
        <v>737</v>
      </c>
      <c r="E254" s="203">
        <v>20</v>
      </c>
      <c r="F254" s="791">
        <f>CPUE!H1258</f>
        <v>54</v>
      </c>
      <c r="G254" s="791">
        <f>CPUE!I1258</f>
        <v>7.8664500000000004</v>
      </c>
      <c r="H254" s="786">
        <f t="shared" si="119"/>
        <v>1237.329</v>
      </c>
      <c r="I254" s="786">
        <f t="shared" si="120"/>
        <v>1296.1351002020924</v>
      </c>
      <c r="J254" s="189">
        <f t="shared" si="121"/>
        <v>210.48927794469523</v>
      </c>
      <c r="K254" s="786">
        <f t="shared" si="122"/>
        <v>1506.6243781467876</v>
      </c>
      <c r="L254" s="709">
        <f t="shared" si="101"/>
        <v>5.5010679019736703E-4</v>
      </c>
      <c r="M254" s="190"/>
      <c r="N254" s="190"/>
      <c r="O254" s="190"/>
    </row>
    <row r="255" spans="1:15">
      <c r="A255" s="710" t="s">
        <v>2367</v>
      </c>
      <c r="B255" s="205" t="s">
        <v>924</v>
      </c>
      <c r="C255" s="209" t="s">
        <v>979</v>
      </c>
      <c r="D255" s="221" t="s">
        <v>737</v>
      </c>
      <c r="E255" s="203">
        <v>6</v>
      </c>
      <c r="F255" s="791">
        <f>CPUE!H1265</f>
        <v>34.5</v>
      </c>
      <c r="G255" s="791">
        <f>CPUE!I1265</f>
        <v>7.8664500000000004</v>
      </c>
      <c r="H255" s="786">
        <f t="shared" si="119"/>
        <v>254.1987</v>
      </c>
      <c r="I255" s="786">
        <f t="shared" si="120"/>
        <v>248.42589420540102</v>
      </c>
      <c r="J255" s="189">
        <f t="shared" si="121"/>
        <v>63.146783383408568</v>
      </c>
      <c r="K255" s="786">
        <f t="shared" si="122"/>
        <v>311.5726775888096</v>
      </c>
      <c r="L255" s="709">
        <f t="shared" si="101"/>
        <v>1.1376309056701068E-4</v>
      </c>
      <c r="M255" s="190"/>
      <c r="N255" s="190"/>
      <c r="O255" s="190"/>
    </row>
    <row r="256" spans="1:15" ht="42">
      <c r="A256" s="710" t="s">
        <v>2368</v>
      </c>
      <c r="B256" s="205" t="s">
        <v>925</v>
      </c>
      <c r="C256" s="209" t="s">
        <v>980</v>
      </c>
      <c r="D256" s="221" t="s">
        <v>737</v>
      </c>
      <c r="E256" s="203">
        <v>12</v>
      </c>
      <c r="F256" s="791">
        <f>CPUE!H1272</f>
        <v>8.5</v>
      </c>
      <c r="G256" s="791">
        <f>CPUE!I1272</f>
        <v>7.8664500000000004</v>
      </c>
      <c r="H256" s="786">
        <f t="shared" si="119"/>
        <v>196.3974</v>
      </c>
      <c r="I256" s="786">
        <f t="shared" si="120"/>
        <v>122.41275946353095</v>
      </c>
      <c r="J256" s="189">
        <f t="shared" si="121"/>
        <v>126.29356676681714</v>
      </c>
      <c r="K256" s="786">
        <f t="shared" si="122"/>
        <v>248.70632623034808</v>
      </c>
      <c r="L256" s="709">
        <f t="shared" si="101"/>
        <v>9.0808990488156285E-5</v>
      </c>
      <c r="M256" s="190"/>
      <c r="N256" s="190"/>
      <c r="O256" s="190"/>
    </row>
    <row r="257" spans="1:15" ht="42">
      <c r="A257" s="710" t="s">
        <v>2369</v>
      </c>
      <c r="B257" s="205" t="s">
        <v>926</v>
      </c>
      <c r="C257" s="209" t="s">
        <v>981</v>
      </c>
      <c r="D257" s="221" t="s">
        <v>737</v>
      </c>
      <c r="E257" s="203">
        <v>8</v>
      </c>
      <c r="F257" s="791">
        <f>CPUE!H1279</f>
        <v>9.1999999999999993</v>
      </c>
      <c r="G257" s="791">
        <f>CPUE!I1279</f>
        <v>7.8664500000000004</v>
      </c>
      <c r="H257" s="786">
        <f t="shared" si="119"/>
        <v>136.5316</v>
      </c>
      <c r="I257" s="786">
        <f t="shared" si="120"/>
        <v>88.329206828587033</v>
      </c>
      <c r="J257" s="189">
        <f t="shared" si="121"/>
        <v>84.195711177878081</v>
      </c>
      <c r="K257" s="786">
        <f t="shared" si="122"/>
        <v>172.5249180064651</v>
      </c>
      <c r="L257" s="709">
        <f t="shared" si="101"/>
        <v>6.2993225285747914E-5</v>
      </c>
      <c r="M257" s="190"/>
      <c r="N257" s="190"/>
      <c r="O257" s="190"/>
    </row>
    <row r="258" spans="1:15" ht="42">
      <c r="A258" s="710" t="s">
        <v>2370</v>
      </c>
      <c r="B258" s="205" t="s">
        <v>927</v>
      </c>
      <c r="C258" s="209" t="s">
        <v>982</v>
      </c>
      <c r="D258" s="221" t="s">
        <v>737</v>
      </c>
      <c r="E258" s="203">
        <v>4</v>
      </c>
      <c r="F258" s="791">
        <f>CPUE!H1286</f>
        <v>15.4</v>
      </c>
      <c r="G258" s="791">
        <f>CPUE!I1286</f>
        <v>7.8664500000000004</v>
      </c>
      <c r="H258" s="786">
        <f t="shared" si="119"/>
        <v>93.065799999999996</v>
      </c>
      <c r="I258" s="786">
        <f t="shared" si="120"/>
        <v>73.927705715230459</v>
      </c>
      <c r="J258" s="189">
        <f t="shared" si="121"/>
        <v>42.097855588939041</v>
      </c>
      <c r="K258" s="786">
        <f t="shared" si="122"/>
        <v>116.0255613041695</v>
      </c>
      <c r="L258" s="709">
        <f t="shared" si="101"/>
        <v>4.2363876514724775E-5</v>
      </c>
      <c r="M258" s="190"/>
      <c r="N258" s="190"/>
      <c r="O258" s="190"/>
    </row>
    <row r="259" spans="1:15">
      <c r="A259" s="710" t="s">
        <v>2371</v>
      </c>
      <c r="B259" s="205" t="s">
        <v>928</v>
      </c>
      <c r="C259" s="209" t="s">
        <v>983</v>
      </c>
      <c r="D259" s="221" t="s">
        <v>737</v>
      </c>
      <c r="E259" s="203">
        <v>2</v>
      </c>
      <c r="F259" s="791">
        <f>CPUE!H1293</f>
        <v>14.1</v>
      </c>
      <c r="G259" s="791">
        <f>CPUE!I1293</f>
        <v>7.8664500000000004</v>
      </c>
      <c r="H259" s="786">
        <f t="shared" si="119"/>
        <v>43.932900000000004</v>
      </c>
      <c r="I259" s="786">
        <f t="shared" si="120"/>
        <v>33.843527616387966</v>
      </c>
      <c r="J259" s="189">
        <f t="shared" si="121"/>
        <v>21.04892779446952</v>
      </c>
      <c r="K259" s="786">
        <f t="shared" si="122"/>
        <v>54.892455410857487</v>
      </c>
      <c r="L259" s="709">
        <f t="shared" si="101"/>
        <v>2.004262833531351E-5</v>
      </c>
      <c r="M259" s="190"/>
      <c r="N259" s="190"/>
      <c r="O259" s="190"/>
    </row>
    <row r="260" spans="1:15" ht="42">
      <c r="A260" s="710" t="s">
        <v>2372</v>
      </c>
      <c r="B260" s="205" t="s">
        <v>929</v>
      </c>
      <c r="C260" s="209" t="s">
        <v>984</v>
      </c>
      <c r="D260" s="221" t="s">
        <v>737</v>
      </c>
      <c r="E260" s="203">
        <v>2</v>
      </c>
      <c r="F260" s="791">
        <f>CPUE!H1300</f>
        <v>13.2</v>
      </c>
      <c r="G260" s="791">
        <f>CPUE!I1300</f>
        <v>7.8664500000000004</v>
      </c>
      <c r="H260" s="786">
        <f t="shared" si="119"/>
        <v>42.132899999999999</v>
      </c>
      <c r="I260" s="786">
        <f t="shared" si="120"/>
        <v>31.683302449384477</v>
      </c>
      <c r="J260" s="189">
        <f t="shared" si="121"/>
        <v>21.04892779446952</v>
      </c>
      <c r="K260" s="786">
        <f t="shared" si="122"/>
        <v>52.732230243853998</v>
      </c>
      <c r="L260" s="709">
        <f t="shared" si="101"/>
        <v>1.9253875312356596E-5</v>
      </c>
      <c r="M260" s="190"/>
      <c r="N260" s="190"/>
      <c r="O260" s="190"/>
    </row>
    <row r="261" spans="1:15">
      <c r="A261" s="710" t="s">
        <v>2373</v>
      </c>
      <c r="B261" s="205" t="s">
        <v>930</v>
      </c>
      <c r="C261" s="206" t="s">
        <v>985</v>
      </c>
      <c r="D261" s="221" t="s">
        <v>737</v>
      </c>
      <c r="E261" s="203">
        <v>3</v>
      </c>
      <c r="F261" s="791">
        <f>CPUE!H1307</f>
        <v>61.5</v>
      </c>
      <c r="G261" s="791">
        <f>CPUE!I1307</f>
        <v>7.8664500000000004</v>
      </c>
      <c r="H261" s="786">
        <f t="shared" si="119"/>
        <v>208.09935000000002</v>
      </c>
      <c r="I261" s="786">
        <f t="shared" si="120"/>
        <v>221.42307961785744</v>
      </c>
      <c r="J261" s="189">
        <f t="shared" si="121"/>
        <v>31.573391691704284</v>
      </c>
      <c r="K261" s="786">
        <f t="shared" si="122"/>
        <v>252.99647130956171</v>
      </c>
      <c r="L261" s="709">
        <f t="shared" si="101"/>
        <v>9.237543131656647E-5</v>
      </c>
      <c r="M261" s="190"/>
      <c r="N261" s="190"/>
      <c r="O261" s="190"/>
    </row>
    <row r="262" spans="1:15">
      <c r="A262" s="710" t="s">
        <v>2374</v>
      </c>
      <c r="B262" s="205" t="s">
        <v>931</v>
      </c>
      <c r="C262" s="206" t="s">
        <v>986</v>
      </c>
      <c r="D262" s="221" t="s">
        <v>737</v>
      </c>
      <c r="E262" s="203">
        <v>3</v>
      </c>
      <c r="F262" s="791">
        <f>CPUE!H1314</f>
        <v>94</v>
      </c>
      <c r="G262" s="791">
        <f>CPUE!I1314</f>
        <v>7.8664500000000004</v>
      </c>
      <c r="H262" s="786">
        <f t="shared" si="119"/>
        <v>305.59935000000002</v>
      </c>
      <c r="I262" s="786">
        <f t="shared" si="120"/>
        <v>338.43527616387968</v>
      </c>
      <c r="J262" s="189">
        <f t="shared" si="121"/>
        <v>31.573391691704284</v>
      </c>
      <c r="K262" s="786">
        <f t="shared" si="122"/>
        <v>370.00866785558395</v>
      </c>
      <c r="L262" s="709">
        <f t="shared" si="101"/>
        <v>1.3509955339339932E-4</v>
      </c>
      <c r="M262" s="190"/>
      <c r="N262" s="190"/>
      <c r="O262" s="190"/>
    </row>
    <row r="263" spans="1:15">
      <c r="A263" s="710" t="s">
        <v>2375</v>
      </c>
      <c r="B263" s="205" t="s">
        <v>932</v>
      </c>
      <c r="C263" s="206" t="s">
        <v>987</v>
      </c>
      <c r="D263" s="221" t="s">
        <v>737</v>
      </c>
      <c r="E263" s="203">
        <v>6</v>
      </c>
      <c r="F263" s="791">
        <f>CPUE!H1321</f>
        <v>32</v>
      </c>
      <c r="G263" s="791">
        <f>CPUE!I1321</f>
        <v>7.8664500000000004</v>
      </c>
      <c r="H263" s="786">
        <f t="shared" si="119"/>
        <v>239.1987</v>
      </c>
      <c r="I263" s="786">
        <f t="shared" si="120"/>
        <v>230.42401781370529</v>
      </c>
      <c r="J263" s="189">
        <f t="shared" si="121"/>
        <v>63.146783383408568</v>
      </c>
      <c r="K263" s="786">
        <f t="shared" si="122"/>
        <v>293.57080119711384</v>
      </c>
      <c r="L263" s="709">
        <f t="shared" si="101"/>
        <v>1.0719014870903639E-4</v>
      </c>
      <c r="M263" s="190"/>
      <c r="N263" s="190"/>
      <c r="O263" s="190"/>
    </row>
    <row r="264" spans="1:15">
      <c r="A264" s="710" t="s">
        <v>2377</v>
      </c>
      <c r="B264" s="205" t="s">
        <v>933</v>
      </c>
      <c r="C264" s="206" t="s">
        <v>990</v>
      </c>
      <c r="D264" s="221" t="s">
        <v>737</v>
      </c>
      <c r="E264" s="203">
        <v>15</v>
      </c>
      <c r="F264" s="791">
        <f>CPUE!H1335</f>
        <v>19.8</v>
      </c>
      <c r="G264" s="791">
        <f>CPUE!I1335</f>
        <v>7.8664500000000004</v>
      </c>
      <c r="H264" s="786">
        <f t="shared" si="119"/>
        <v>414.99675000000002</v>
      </c>
      <c r="I264" s="786">
        <f t="shared" si="120"/>
        <v>356.43715255557538</v>
      </c>
      <c r="J264" s="189">
        <f t="shared" si="121"/>
        <v>157.86695845852142</v>
      </c>
      <c r="K264" s="786">
        <f t="shared" si="122"/>
        <v>514.30411101409686</v>
      </c>
      <c r="L264" s="709">
        <f t="shared" si="101"/>
        <v>1.8778548110530476E-4</v>
      </c>
      <c r="M264" s="190"/>
      <c r="N264" s="190"/>
      <c r="O264" s="190"/>
    </row>
    <row r="265" spans="1:15">
      <c r="A265" s="710" t="s">
        <v>2378</v>
      </c>
      <c r="B265" s="205" t="s">
        <v>934</v>
      </c>
      <c r="C265" s="206" t="s">
        <v>991</v>
      </c>
      <c r="D265" s="221" t="s">
        <v>737</v>
      </c>
      <c r="E265" s="203">
        <v>12</v>
      </c>
      <c r="F265" s="791">
        <f>CPUE!H1342</f>
        <v>28</v>
      </c>
      <c r="G265" s="791">
        <f>CPUE!I1342</f>
        <v>7.8664500000000004</v>
      </c>
      <c r="H265" s="786">
        <f t="shared" si="119"/>
        <v>430.3974</v>
      </c>
      <c r="I265" s="786">
        <f t="shared" si="120"/>
        <v>403.24203117398429</v>
      </c>
      <c r="J265" s="189">
        <f t="shared" si="121"/>
        <v>126.29356676681714</v>
      </c>
      <c r="K265" s="786">
        <f t="shared" si="122"/>
        <v>529.53559794080138</v>
      </c>
      <c r="L265" s="709">
        <f t="shared" si="101"/>
        <v>1.933468834725551E-4</v>
      </c>
      <c r="M265" s="190"/>
      <c r="N265" s="190"/>
      <c r="O265" s="190"/>
    </row>
    <row r="266" spans="1:15" ht="42">
      <c r="A266" s="710" t="s">
        <v>2379</v>
      </c>
      <c r="B266" s="205" t="s">
        <v>935</v>
      </c>
      <c r="C266" s="206" t="s">
        <v>992</v>
      </c>
      <c r="D266" s="221" t="s">
        <v>737</v>
      </c>
      <c r="E266" s="203">
        <v>3</v>
      </c>
      <c r="F266" s="791">
        <f>CPUE!H1349</f>
        <v>1620</v>
      </c>
      <c r="G266" s="791">
        <f>CPUE!I1349</f>
        <v>7.8664500000000004</v>
      </c>
      <c r="H266" s="786">
        <f t="shared" si="119"/>
        <v>4883.5993500000004</v>
      </c>
      <c r="I266" s="786">
        <f t="shared" si="120"/>
        <v>5832.6079509094152</v>
      </c>
      <c r="J266" s="189">
        <f t="shared" si="121"/>
        <v>31.573391691704284</v>
      </c>
      <c r="K266" s="786">
        <f t="shared" si="122"/>
        <v>5864.1813426011195</v>
      </c>
      <c r="L266" s="709">
        <f t="shared" ref="L266:L329" si="123">K266/$K$436</f>
        <v>2.1411614084471506E-3</v>
      </c>
      <c r="M266" s="190"/>
      <c r="N266" s="190"/>
      <c r="O266" s="190"/>
    </row>
    <row r="267" spans="1:15">
      <c r="A267" s="710" t="s">
        <v>2380</v>
      </c>
      <c r="B267" s="205" t="s">
        <v>936</v>
      </c>
      <c r="C267" s="206" t="s">
        <v>993</v>
      </c>
      <c r="D267" s="221" t="s">
        <v>737</v>
      </c>
      <c r="E267" s="203">
        <v>3</v>
      </c>
      <c r="F267" s="791">
        <f>CPUE!H1356</f>
        <v>920</v>
      </c>
      <c r="G267" s="791">
        <f>CPUE!I1356</f>
        <v>7.8664500000000004</v>
      </c>
      <c r="H267" s="786">
        <f t="shared" si="119"/>
        <v>2783.59935</v>
      </c>
      <c r="I267" s="786">
        <f t="shared" si="120"/>
        <v>3312.3452560720139</v>
      </c>
      <c r="J267" s="189">
        <f t="shared" si="121"/>
        <v>31.573391691704284</v>
      </c>
      <c r="K267" s="786">
        <f t="shared" si="122"/>
        <v>3343.9186477637181</v>
      </c>
      <c r="L267" s="709">
        <f t="shared" si="123"/>
        <v>1.2209495483307508E-3</v>
      </c>
      <c r="M267" s="190"/>
      <c r="N267" s="190"/>
      <c r="O267" s="190"/>
    </row>
    <row r="268" spans="1:15">
      <c r="A268" s="710" t="s">
        <v>2381</v>
      </c>
      <c r="B268" s="205" t="s">
        <v>937</v>
      </c>
      <c r="C268" s="206" t="s">
        <v>994</v>
      </c>
      <c r="D268" s="221" t="s">
        <v>737</v>
      </c>
      <c r="E268" s="203">
        <v>6</v>
      </c>
      <c r="F268" s="791">
        <f>CPUE!H1363</f>
        <v>10.5</v>
      </c>
      <c r="G268" s="791">
        <f>CPUE!I1363</f>
        <v>7.8664500000000004</v>
      </c>
      <c r="H268" s="786">
        <f t="shared" si="119"/>
        <v>110.1987</v>
      </c>
      <c r="I268" s="786">
        <f t="shared" si="120"/>
        <v>75.607880845122054</v>
      </c>
      <c r="J268" s="189">
        <f t="shared" si="121"/>
        <v>63.146783383408568</v>
      </c>
      <c r="K268" s="786">
        <f t="shared" si="122"/>
        <v>138.75466422853063</v>
      </c>
      <c r="L268" s="709">
        <f t="shared" si="123"/>
        <v>5.0662848730457568E-5</v>
      </c>
      <c r="M268" s="190"/>
      <c r="N268" s="190"/>
      <c r="O268" s="190"/>
    </row>
    <row r="269" spans="1:15">
      <c r="A269" s="710" t="s">
        <v>2382</v>
      </c>
      <c r="B269" s="205" t="s">
        <v>938</v>
      </c>
      <c r="C269" s="206" t="s">
        <v>995</v>
      </c>
      <c r="D269" s="221" t="s">
        <v>737</v>
      </c>
      <c r="E269" s="203">
        <v>2</v>
      </c>
      <c r="F269" s="791">
        <f>CPUE!H1370</f>
        <v>81</v>
      </c>
      <c r="G269" s="791">
        <f>CPUE!I1370</f>
        <v>7.8664500000000004</v>
      </c>
      <c r="H269" s="786">
        <f t="shared" si="119"/>
        <v>177.7329</v>
      </c>
      <c r="I269" s="786">
        <f t="shared" si="120"/>
        <v>194.42026503031386</v>
      </c>
      <c r="J269" s="189">
        <f t="shared" si="121"/>
        <v>21.04892779446952</v>
      </c>
      <c r="K269" s="786">
        <f t="shared" si="122"/>
        <v>215.46919282478336</v>
      </c>
      <c r="L269" s="709">
        <f t="shared" si="123"/>
        <v>7.867326970844412E-5</v>
      </c>
      <c r="M269" s="190"/>
      <c r="N269" s="190"/>
      <c r="O269" s="190"/>
    </row>
    <row r="270" spans="1:15">
      <c r="A270" s="710" t="s">
        <v>2383</v>
      </c>
      <c r="B270" s="205" t="s">
        <v>939</v>
      </c>
      <c r="C270" s="206" t="s">
        <v>996</v>
      </c>
      <c r="D270" s="221" t="s">
        <v>737</v>
      </c>
      <c r="E270" s="203">
        <v>2</v>
      </c>
      <c r="F270" s="791">
        <f>CPUE!H1377</f>
        <v>99.8</v>
      </c>
      <c r="G270" s="791">
        <f>CPUE!I1377</f>
        <v>7.8664500000000004</v>
      </c>
      <c r="H270" s="786">
        <f t="shared" si="119"/>
        <v>215.3329</v>
      </c>
      <c r="I270" s="786">
        <f t="shared" si="120"/>
        <v>239.54496851883113</v>
      </c>
      <c r="J270" s="189">
        <f t="shared" si="121"/>
        <v>21.04892779446952</v>
      </c>
      <c r="K270" s="786">
        <f t="shared" si="122"/>
        <v>260.59389631330066</v>
      </c>
      <c r="L270" s="709">
        <f t="shared" si="123"/>
        <v>9.5149443965766324E-5</v>
      </c>
      <c r="M270" s="190"/>
      <c r="N270" s="190"/>
      <c r="O270" s="190"/>
    </row>
    <row r="271" spans="1:15">
      <c r="A271" s="710" t="s">
        <v>2385</v>
      </c>
      <c r="B271" s="205" t="s">
        <v>940</v>
      </c>
      <c r="C271" s="206" t="s">
        <v>997</v>
      </c>
      <c r="D271" s="221" t="s">
        <v>737</v>
      </c>
      <c r="E271" s="203">
        <v>4</v>
      </c>
      <c r="F271" s="791">
        <f>CPUE!H1391</f>
        <v>35.1</v>
      </c>
      <c r="G271" s="791">
        <f>CPUE!I1391</f>
        <v>7.8664500000000004</v>
      </c>
      <c r="H271" s="786">
        <f t="shared" si="119"/>
        <v>171.86580000000001</v>
      </c>
      <c r="I271" s="786">
        <f t="shared" si="120"/>
        <v>168.49756302627202</v>
      </c>
      <c r="J271" s="189">
        <f t="shared" si="121"/>
        <v>42.097855588939041</v>
      </c>
      <c r="K271" s="786">
        <f t="shared" si="122"/>
        <v>210.59541861521106</v>
      </c>
      <c r="L271" s="709">
        <f t="shared" si="123"/>
        <v>7.6893731075283018E-5</v>
      </c>
      <c r="M271" s="190"/>
      <c r="N271" s="190"/>
      <c r="O271" s="190"/>
    </row>
    <row r="272" spans="1:15">
      <c r="A272" s="710" t="s">
        <v>2388</v>
      </c>
      <c r="B272" s="205" t="s">
        <v>941</v>
      </c>
      <c r="C272" s="206" t="s">
        <v>1000</v>
      </c>
      <c r="D272" s="221" t="s">
        <v>737</v>
      </c>
      <c r="E272" s="203">
        <v>10</v>
      </c>
      <c r="F272" s="791">
        <f>CPUE!H1412</f>
        <v>28.4</v>
      </c>
      <c r="G272" s="791">
        <f>CPUE!I1412</f>
        <v>7.8664500000000004</v>
      </c>
      <c r="H272" s="786">
        <f t="shared" si="119"/>
        <v>362.66449999999998</v>
      </c>
      <c r="I272" s="786">
        <f t="shared" si="120"/>
        <v>340.83552634943908</v>
      </c>
      <c r="J272" s="189">
        <f t="shared" si="121"/>
        <v>105.24463897234762</v>
      </c>
      <c r="K272" s="786">
        <f t="shared" si="122"/>
        <v>446.08016532178669</v>
      </c>
      <c r="L272" s="709">
        <f t="shared" si="123"/>
        <v>1.6287518738925571E-4</v>
      </c>
      <c r="M272" s="190"/>
      <c r="N272" s="190"/>
      <c r="O272" s="190"/>
    </row>
    <row r="273" spans="1:15">
      <c r="A273" s="710" t="s">
        <v>2389</v>
      </c>
      <c r="B273" s="205" t="s">
        <v>942</v>
      </c>
      <c r="C273" s="206" t="s">
        <v>1001</v>
      </c>
      <c r="D273" s="221" t="s">
        <v>737</v>
      </c>
      <c r="E273" s="203">
        <v>8</v>
      </c>
      <c r="F273" s="791">
        <f>CPUE!H1419</f>
        <v>35.200000000000003</v>
      </c>
      <c r="G273" s="791">
        <f>CPUE!I1419</f>
        <v>7.8664500000000004</v>
      </c>
      <c r="H273" s="786">
        <f t="shared" si="119"/>
        <v>344.53160000000003</v>
      </c>
      <c r="I273" s="786">
        <f t="shared" si="120"/>
        <v>337.9552261267678</v>
      </c>
      <c r="J273" s="189">
        <f t="shared" si="121"/>
        <v>84.195711177878081</v>
      </c>
      <c r="K273" s="786">
        <f t="shared" si="122"/>
        <v>422.15093730464588</v>
      </c>
      <c r="L273" s="709">
        <f t="shared" si="123"/>
        <v>1.5413801904965799E-4</v>
      </c>
      <c r="M273" s="190"/>
      <c r="N273" s="190"/>
      <c r="O273" s="190"/>
    </row>
    <row r="274" spans="1:15" ht="42">
      <c r="A274" s="710" t="s">
        <v>2390</v>
      </c>
      <c r="B274" s="205" t="s">
        <v>943</v>
      </c>
      <c r="C274" s="206" t="s">
        <v>1002</v>
      </c>
      <c r="D274" s="221" t="s">
        <v>737</v>
      </c>
      <c r="E274" s="203">
        <v>2</v>
      </c>
      <c r="F274" s="791">
        <f>CPUE!H1426</f>
        <v>1975</v>
      </c>
      <c r="G274" s="791">
        <f>CPUE!I1426</f>
        <v>7.8664500000000004</v>
      </c>
      <c r="H274" s="786">
        <f t="shared" si="119"/>
        <v>3965.7329</v>
      </c>
      <c r="I274" s="786">
        <f t="shared" ref="I274:I296" si="124">E274*F274*(1+$G$436)</f>
        <v>4740.4941164798747</v>
      </c>
      <c r="J274" s="189">
        <f t="shared" ref="J274:J296" si="125">E274*G274*(1+$G$436)*(1+$H$7)</f>
        <v>21.04892779446952</v>
      </c>
      <c r="K274" s="786">
        <f t="shared" si="122"/>
        <v>4761.5430442743445</v>
      </c>
      <c r="L274" s="709">
        <f t="shared" si="123"/>
        <v>1.7385601869088832E-3</v>
      </c>
      <c r="M274" s="190"/>
      <c r="N274" s="190"/>
      <c r="O274" s="190"/>
    </row>
    <row r="275" spans="1:15">
      <c r="A275" s="710" t="s">
        <v>2391</v>
      </c>
      <c r="B275" s="205" t="s">
        <v>944</v>
      </c>
      <c r="C275" s="206" t="s">
        <v>1003</v>
      </c>
      <c r="D275" s="221" t="s">
        <v>737</v>
      </c>
      <c r="E275" s="203">
        <v>2</v>
      </c>
      <c r="F275" s="791">
        <f>CPUE!H1433</f>
        <v>990</v>
      </c>
      <c r="G275" s="791">
        <f>CPUE!I1433</f>
        <v>7.8664500000000004</v>
      </c>
      <c r="H275" s="786">
        <f t="shared" si="119"/>
        <v>1995.7329</v>
      </c>
      <c r="I275" s="786">
        <f t="shared" si="124"/>
        <v>2376.2476837038362</v>
      </c>
      <c r="J275" s="189">
        <f t="shared" si="125"/>
        <v>21.04892779446952</v>
      </c>
      <c r="K275" s="786">
        <f t="shared" si="122"/>
        <v>2397.2966114983055</v>
      </c>
      <c r="L275" s="709">
        <f t="shared" si="123"/>
        <v>8.7531382289492729E-4</v>
      </c>
      <c r="M275" s="190"/>
      <c r="N275" s="190"/>
      <c r="O275" s="190"/>
    </row>
    <row r="276" spans="1:15">
      <c r="A276" s="710" t="s">
        <v>2392</v>
      </c>
      <c r="B276" s="205" t="s">
        <v>945</v>
      </c>
      <c r="C276" s="206" t="s">
        <v>1004</v>
      </c>
      <c r="D276" s="221" t="s">
        <v>737</v>
      </c>
      <c r="E276" s="203">
        <v>4</v>
      </c>
      <c r="F276" s="791">
        <f>CPUE!H1440</f>
        <v>12.4</v>
      </c>
      <c r="G276" s="791">
        <f>CPUE!I1440</f>
        <v>7.8664500000000004</v>
      </c>
      <c r="H276" s="786">
        <f t="shared" si="119"/>
        <v>81.065799999999996</v>
      </c>
      <c r="I276" s="786">
        <f t="shared" si="124"/>
        <v>59.526204601873872</v>
      </c>
      <c r="J276" s="189">
        <f t="shared" si="125"/>
        <v>42.097855588939041</v>
      </c>
      <c r="K276" s="786">
        <f t="shared" si="122"/>
        <v>101.62406019081291</v>
      </c>
      <c r="L276" s="709">
        <f t="shared" si="123"/>
        <v>3.7105523028345343E-5</v>
      </c>
      <c r="M276" s="190"/>
      <c r="N276" s="190"/>
      <c r="O276" s="190"/>
    </row>
    <row r="277" spans="1:15">
      <c r="A277" s="710" t="s">
        <v>2393</v>
      </c>
      <c r="B277" s="205" t="s">
        <v>946</v>
      </c>
      <c r="C277" s="206" t="s">
        <v>1005</v>
      </c>
      <c r="D277" s="221" t="s">
        <v>737</v>
      </c>
      <c r="E277" s="203">
        <v>1</v>
      </c>
      <c r="F277" s="791">
        <f>CPUE!H1447</f>
        <v>91</v>
      </c>
      <c r="G277" s="791">
        <f>CPUE!I1447</f>
        <v>7.8664500000000004</v>
      </c>
      <c r="H277" s="786">
        <f t="shared" si="119"/>
        <v>98.86645</v>
      </c>
      <c r="I277" s="786">
        <f t="shared" si="124"/>
        <v>109.21138344295407</v>
      </c>
      <c r="J277" s="189">
        <f t="shared" si="125"/>
        <v>10.52446389723476</v>
      </c>
      <c r="K277" s="786">
        <f t="shared" si="122"/>
        <v>119.73584734018883</v>
      </c>
      <c r="L277" s="709">
        <f t="shared" si="123"/>
        <v>4.371859609287158E-5</v>
      </c>
      <c r="M277" s="190"/>
      <c r="N277" s="190"/>
      <c r="O277" s="190"/>
    </row>
    <row r="278" spans="1:15">
      <c r="A278" s="710" t="s">
        <v>2394</v>
      </c>
      <c r="B278" s="205" t="s">
        <v>947</v>
      </c>
      <c r="C278" s="206" t="s">
        <v>1006</v>
      </c>
      <c r="D278" s="221" t="s">
        <v>737</v>
      </c>
      <c r="E278" s="203">
        <v>1</v>
      </c>
      <c r="F278" s="791">
        <f>CPUE!H1454</f>
        <v>115</v>
      </c>
      <c r="G278" s="791">
        <f>CPUE!I1454</f>
        <v>7.8664500000000004</v>
      </c>
      <c r="H278" s="786">
        <f t="shared" si="119"/>
        <v>122.86645</v>
      </c>
      <c r="I278" s="786">
        <f t="shared" si="124"/>
        <v>138.01438566966723</v>
      </c>
      <c r="J278" s="189">
        <f t="shared" si="125"/>
        <v>10.52446389723476</v>
      </c>
      <c r="K278" s="786">
        <f t="shared" si="122"/>
        <v>148.538849566902</v>
      </c>
      <c r="L278" s="709">
        <f t="shared" si="123"/>
        <v>5.4235303065630438E-5</v>
      </c>
      <c r="M278" s="190"/>
      <c r="N278" s="190"/>
      <c r="O278" s="190"/>
    </row>
    <row r="279" spans="1:15">
      <c r="A279" s="710" t="s">
        <v>2395</v>
      </c>
      <c r="B279" s="205" t="s">
        <v>948</v>
      </c>
      <c r="C279" s="206" t="s">
        <v>1007</v>
      </c>
      <c r="D279" s="221" t="s">
        <v>737</v>
      </c>
      <c r="E279" s="203">
        <v>2</v>
      </c>
      <c r="F279" s="791">
        <f>CPUE!H1461</f>
        <v>44</v>
      </c>
      <c r="G279" s="791">
        <f>CPUE!I1461</f>
        <v>7.8664500000000004</v>
      </c>
      <c r="H279" s="786">
        <f t="shared" si="119"/>
        <v>103.7329</v>
      </c>
      <c r="I279" s="786">
        <f t="shared" si="124"/>
        <v>105.61100816461493</v>
      </c>
      <c r="J279" s="189">
        <f t="shared" si="125"/>
        <v>21.04892779446952</v>
      </c>
      <c r="K279" s="786">
        <f t="shared" si="122"/>
        <v>126.65993595908445</v>
      </c>
      <c r="L279" s="709">
        <f t="shared" si="123"/>
        <v>4.6246756542437655E-5</v>
      </c>
      <c r="M279" s="190"/>
      <c r="N279" s="190"/>
      <c r="O279" s="190"/>
    </row>
    <row r="280" spans="1:15">
      <c r="A280" s="710" t="s">
        <v>2398</v>
      </c>
      <c r="B280" s="205" t="s">
        <v>949</v>
      </c>
      <c r="C280" s="206" t="s">
        <v>1010</v>
      </c>
      <c r="D280" s="221" t="s">
        <v>737</v>
      </c>
      <c r="E280" s="203">
        <v>5</v>
      </c>
      <c r="F280" s="791">
        <f>CPUE!H1482</f>
        <v>36</v>
      </c>
      <c r="G280" s="791">
        <f>CPUE!I1482</f>
        <v>7.8664500000000004</v>
      </c>
      <c r="H280" s="786">
        <f t="shared" si="119"/>
        <v>219.33224999999999</v>
      </c>
      <c r="I280" s="786">
        <f t="shared" si="124"/>
        <v>216.02251670034872</v>
      </c>
      <c r="J280" s="189">
        <f t="shared" si="125"/>
        <v>52.622319486173808</v>
      </c>
      <c r="K280" s="786">
        <f t="shared" si="122"/>
        <v>268.64483618652253</v>
      </c>
      <c r="L280" s="709">
        <f t="shared" si="123"/>
        <v>9.8089046401496051E-5</v>
      </c>
      <c r="M280" s="190"/>
      <c r="N280" s="190"/>
      <c r="O280" s="190"/>
    </row>
    <row r="281" spans="1:15">
      <c r="A281" s="710" t="s">
        <v>2399</v>
      </c>
      <c r="B281" s="205" t="s">
        <v>950</v>
      </c>
      <c r="C281" s="206" t="s">
        <v>1011</v>
      </c>
      <c r="D281" s="221" t="s">
        <v>737</v>
      </c>
      <c r="E281" s="203">
        <v>4</v>
      </c>
      <c r="F281" s="791">
        <f>CPUE!H1489</f>
        <v>42.1</v>
      </c>
      <c r="G281" s="791">
        <f>CPUE!I1489</f>
        <v>7.8664500000000004</v>
      </c>
      <c r="H281" s="786">
        <f t="shared" si="119"/>
        <v>199.86580000000001</v>
      </c>
      <c r="I281" s="786">
        <f t="shared" si="124"/>
        <v>202.10106562410402</v>
      </c>
      <c r="J281" s="189">
        <f t="shared" si="125"/>
        <v>42.097855588939041</v>
      </c>
      <c r="K281" s="786">
        <f t="shared" si="122"/>
        <v>244.19892121304306</v>
      </c>
      <c r="L281" s="709">
        <f t="shared" si="123"/>
        <v>8.9163222543501666E-5</v>
      </c>
      <c r="M281" s="190"/>
      <c r="N281" s="190"/>
      <c r="O281" s="190"/>
    </row>
    <row r="282" spans="1:15">
      <c r="A282" s="710" t="s">
        <v>2400</v>
      </c>
      <c r="B282" s="205" t="s">
        <v>951</v>
      </c>
      <c r="C282" s="209" t="s">
        <v>1012</v>
      </c>
      <c r="D282" s="221" t="s">
        <v>737</v>
      </c>
      <c r="E282" s="203">
        <v>1</v>
      </c>
      <c r="F282" s="791">
        <f>CPUE!H1496</f>
        <v>2620</v>
      </c>
      <c r="G282" s="791">
        <f>CPUE!I1496</f>
        <v>7.8664500000000004</v>
      </c>
      <c r="H282" s="786">
        <f t="shared" si="119"/>
        <v>2627.86645</v>
      </c>
      <c r="I282" s="786">
        <f t="shared" si="124"/>
        <v>3144.3277430828534</v>
      </c>
      <c r="J282" s="189">
        <f t="shared" si="125"/>
        <v>10.52446389723476</v>
      </c>
      <c r="K282" s="786">
        <f t="shared" si="122"/>
        <v>3154.8522069800883</v>
      </c>
      <c r="L282" s="709">
        <f t="shared" si="123"/>
        <v>1.1519165933473357E-3</v>
      </c>
      <c r="M282" s="190"/>
      <c r="N282" s="190"/>
      <c r="O282" s="190"/>
    </row>
    <row r="283" spans="1:15">
      <c r="A283" s="710" t="s">
        <v>2401</v>
      </c>
      <c r="B283" s="205" t="s">
        <v>952</v>
      </c>
      <c r="C283" s="206" t="s">
        <v>1013</v>
      </c>
      <c r="D283" s="221" t="s">
        <v>737</v>
      </c>
      <c r="E283" s="203">
        <v>1</v>
      </c>
      <c r="F283" s="791">
        <f>CPUE!H1503</f>
        <v>1400</v>
      </c>
      <c r="G283" s="791">
        <f>CPUE!I1503</f>
        <v>7.8664500000000004</v>
      </c>
      <c r="H283" s="786">
        <f t="shared" si="119"/>
        <v>1407.86645</v>
      </c>
      <c r="I283" s="786">
        <f t="shared" si="124"/>
        <v>1680.1751298916013</v>
      </c>
      <c r="J283" s="189">
        <f t="shared" si="125"/>
        <v>10.52446389723476</v>
      </c>
      <c r="K283" s="786">
        <f t="shared" si="122"/>
        <v>1690.699593788836</v>
      </c>
      <c r="L283" s="709">
        <f t="shared" si="123"/>
        <v>6.1731732223209402E-4</v>
      </c>
      <c r="M283" s="190"/>
      <c r="N283" s="190"/>
      <c r="O283" s="190"/>
    </row>
    <row r="284" spans="1:15">
      <c r="A284" s="710" t="s">
        <v>2402</v>
      </c>
      <c r="B284" s="205" t="s">
        <v>953</v>
      </c>
      <c r="C284" s="206" t="s">
        <v>1014</v>
      </c>
      <c r="D284" s="221" t="s">
        <v>737</v>
      </c>
      <c r="E284" s="203">
        <v>2</v>
      </c>
      <c r="F284" s="791">
        <f>CPUE!H1510</f>
        <v>15.1</v>
      </c>
      <c r="G284" s="791">
        <f>CPUE!I1510</f>
        <v>7.8664500000000004</v>
      </c>
      <c r="H284" s="786">
        <f t="shared" si="119"/>
        <v>45.932900000000004</v>
      </c>
      <c r="I284" s="786">
        <f t="shared" si="124"/>
        <v>36.243777801947395</v>
      </c>
      <c r="J284" s="189">
        <f t="shared" si="125"/>
        <v>21.04892779446952</v>
      </c>
      <c r="K284" s="786">
        <f t="shared" si="122"/>
        <v>57.292705596416916</v>
      </c>
      <c r="L284" s="709">
        <f t="shared" si="123"/>
        <v>2.0919020583043415E-5</v>
      </c>
      <c r="M284" s="190"/>
      <c r="N284" s="190"/>
      <c r="O284" s="190"/>
    </row>
    <row r="285" spans="1:15">
      <c r="A285" s="710" t="s">
        <v>2403</v>
      </c>
      <c r="B285" s="205" t="s">
        <v>954</v>
      </c>
      <c r="C285" s="206" t="s">
        <v>1015</v>
      </c>
      <c r="D285" s="207" t="s">
        <v>13</v>
      </c>
      <c r="E285" s="203">
        <v>20</v>
      </c>
      <c r="F285" s="791">
        <f>CPUE!H1517</f>
        <v>115</v>
      </c>
      <c r="G285" s="791">
        <f>CPUE!I1517</f>
        <v>7.8664500000000004</v>
      </c>
      <c r="H285" s="786">
        <f t="shared" si="119"/>
        <v>2457.3290000000002</v>
      </c>
      <c r="I285" s="786">
        <f t="shared" si="124"/>
        <v>2760.2877133933448</v>
      </c>
      <c r="J285" s="189">
        <f t="shared" si="125"/>
        <v>210.48927794469523</v>
      </c>
      <c r="K285" s="786">
        <f t="shared" si="122"/>
        <v>2970.7769913380398</v>
      </c>
      <c r="L285" s="709">
        <f t="shared" si="123"/>
        <v>1.0847060613126086E-3</v>
      </c>
      <c r="M285" s="190"/>
      <c r="N285" s="190"/>
      <c r="O285" s="190"/>
    </row>
    <row r="286" spans="1:15">
      <c r="A286" s="710" t="s">
        <v>2404</v>
      </c>
      <c r="B286" s="205" t="s">
        <v>955</v>
      </c>
      <c r="C286" s="206" t="s">
        <v>1016</v>
      </c>
      <c r="D286" s="221" t="s">
        <v>737</v>
      </c>
      <c r="E286" s="203">
        <v>16</v>
      </c>
      <c r="F286" s="791">
        <f>CPUE!H1524</f>
        <v>520</v>
      </c>
      <c r="G286" s="791">
        <f>CPUE!I1524</f>
        <v>7.8664500000000004</v>
      </c>
      <c r="H286" s="786">
        <f t="shared" si="119"/>
        <v>8445.8631999999998</v>
      </c>
      <c r="I286" s="786">
        <f t="shared" si="124"/>
        <v>9985.0407719272298</v>
      </c>
      <c r="J286" s="189">
        <f t="shared" si="125"/>
        <v>168.39142235575616</v>
      </c>
      <c r="K286" s="786">
        <f t="shared" si="122"/>
        <v>10153.432194282987</v>
      </c>
      <c r="L286" s="709">
        <f t="shared" si="123"/>
        <v>3.7072757316949775E-3</v>
      </c>
      <c r="M286" s="190"/>
      <c r="N286" s="190"/>
      <c r="O286" s="190"/>
    </row>
    <row r="287" spans="1:15">
      <c r="A287" s="710" t="s">
        <v>2405</v>
      </c>
      <c r="B287" s="205" t="s">
        <v>956</v>
      </c>
      <c r="C287" s="206" t="s">
        <v>1017</v>
      </c>
      <c r="D287" s="221" t="s">
        <v>737</v>
      </c>
      <c r="E287" s="203">
        <v>16</v>
      </c>
      <c r="F287" s="791">
        <f>CPUE!H1531</f>
        <v>65.2</v>
      </c>
      <c r="G287" s="791">
        <f>CPUE!I1531</f>
        <v>7.8664500000000004</v>
      </c>
      <c r="H287" s="786">
        <f t="shared" si="119"/>
        <v>1169.0632000000001</v>
      </c>
      <c r="I287" s="786">
        <f t="shared" si="124"/>
        <v>1251.9704967877988</v>
      </c>
      <c r="J287" s="189">
        <f t="shared" si="125"/>
        <v>168.39142235575616</v>
      </c>
      <c r="K287" s="786">
        <f t="shared" si="122"/>
        <v>1420.361919143555</v>
      </c>
      <c r="L287" s="709">
        <f t="shared" si="123"/>
        <v>5.18610177554493E-4</v>
      </c>
      <c r="M287" s="190"/>
      <c r="N287" s="190"/>
      <c r="O287" s="190"/>
    </row>
    <row r="288" spans="1:15">
      <c r="A288" s="710" t="s">
        <v>2413</v>
      </c>
      <c r="B288" s="205" t="s">
        <v>957</v>
      </c>
      <c r="C288" s="206" t="s">
        <v>1018</v>
      </c>
      <c r="D288" s="221" t="s">
        <v>737</v>
      </c>
      <c r="E288" s="203">
        <v>16</v>
      </c>
      <c r="F288" s="791">
        <f>CPUE!H1587</f>
        <v>272</v>
      </c>
      <c r="G288" s="791">
        <f>CPUE!I1587</f>
        <v>7.8664500000000004</v>
      </c>
      <c r="H288" s="786">
        <f t="shared" si="119"/>
        <v>4477.8631999999998</v>
      </c>
      <c r="I288" s="786">
        <f t="shared" si="124"/>
        <v>5222.9444037773201</v>
      </c>
      <c r="J288" s="189">
        <f t="shared" si="125"/>
        <v>168.39142235575616</v>
      </c>
      <c r="K288" s="786">
        <f t="shared" si="122"/>
        <v>5391.3358261330759</v>
      </c>
      <c r="L288" s="709">
        <f t="shared" si="123"/>
        <v>1.9685135121988466E-3</v>
      </c>
      <c r="M288" s="190"/>
      <c r="N288" s="190"/>
      <c r="O288" s="190"/>
    </row>
    <row r="289" spans="1:15">
      <c r="A289" s="710" t="s">
        <v>2414</v>
      </c>
      <c r="B289" s="205" t="s">
        <v>958</v>
      </c>
      <c r="C289" s="201" t="s">
        <v>1019</v>
      </c>
      <c r="D289" s="221" t="s">
        <v>737</v>
      </c>
      <c r="E289" s="203">
        <v>6</v>
      </c>
      <c r="F289" s="791">
        <f>CPUE!H1594</f>
        <v>182</v>
      </c>
      <c r="G289" s="791">
        <f>CPUE!I1594</f>
        <v>7.8664500000000004</v>
      </c>
      <c r="H289" s="786">
        <f t="shared" si="119"/>
        <v>1139.1986999999999</v>
      </c>
      <c r="I289" s="786">
        <f t="shared" si="124"/>
        <v>1310.5366013154489</v>
      </c>
      <c r="J289" s="189">
        <f t="shared" si="125"/>
        <v>63.146783383408568</v>
      </c>
      <c r="K289" s="786">
        <f t="shared" si="122"/>
        <v>1373.6833846988575</v>
      </c>
      <c r="L289" s="709">
        <f t="shared" si="123"/>
        <v>5.0156666018749338E-4</v>
      </c>
      <c r="M289" s="190"/>
      <c r="N289" s="190"/>
      <c r="O289" s="190"/>
    </row>
    <row r="290" spans="1:15">
      <c r="A290" s="710" t="s">
        <v>2406</v>
      </c>
      <c r="B290" s="205" t="s">
        <v>959</v>
      </c>
      <c r="C290" s="201" t="s">
        <v>1020</v>
      </c>
      <c r="D290" s="221" t="s">
        <v>737</v>
      </c>
      <c r="E290" s="203">
        <v>6</v>
      </c>
      <c r="F290" s="791">
        <f>CPUE!H1538</f>
        <v>35</v>
      </c>
      <c r="G290" s="791">
        <f>CPUE!I1538</f>
        <v>7.8664500000000004</v>
      </c>
      <c r="H290" s="786">
        <f t="shared" si="119"/>
        <v>257.19870000000003</v>
      </c>
      <c r="I290" s="786">
        <f t="shared" si="124"/>
        <v>252.02626948374018</v>
      </c>
      <c r="J290" s="189">
        <f t="shared" si="125"/>
        <v>63.146783383408568</v>
      </c>
      <c r="K290" s="786">
        <f t="shared" si="122"/>
        <v>315.17305286714873</v>
      </c>
      <c r="L290" s="709">
        <f t="shared" si="123"/>
        <v>1.1507767893860554E-4</v>
      </c>
      <c r="M290" s="190"/>
      <c r="N290" s="190"/>
      <c r="O290" s="190"/>
    </row>
    <row r="291" spans="1:15" ht="42">
      <c r="A291" s="710" t="s">
        <v>2407</v>
      </c>
      <c r="B291" s="205" t="s">
        <v>960</v>
      </c>
      <c r="C291" s="201" t="s">
        <v>1021</v>
      </c>
      <c r="D291" s="221" t="s">
        <v>737</v>
      </c>
      <c r="E291" s="203">
        <v>6</v>
      </c>
      <c r="F291" s="203">
        <f>CPUE!H1545</f>
        <v>280</v>
      </c>
      <c r="G291" s="203">
        <f>CPUE!I1545</f>
        <v>7.8664500000000004</v>
      </c>
      <c r="H291" s="786">
        <f t="shared" si="119"/>
        <v>1727.1986999999999</v>
      </c>
      <c r="I291" s="786">
        <f t="shared" si="124"/>
        <v>2016.2101558699214</v>
      </c>
      <c r="J291" s="189">
        <f t="shared" si="125"/>
        <v>63.146783383408568</v>
      </c>
      <c r="K291" s="786">
        <f t="shared" si="122"/>
        <v>2079.35693925333</v>
      </c>
      <c r="L291" s="709">
        <f t="shared" si="123"/>
        <v>7.5922598102008535E-4</v>
      </c>
      <c r="M291" s="190"/>
      <c r="N291" s="190"/>
      <c r="O291" s="190"/>
    </row>
    <row r="292" spans="1:15">
      <c r="A292" s="710" t="s">
        <v>2409</v>
      </c>
      <c r="B292" s="205" t="s">
        <v>961</v>
      </c>
      <c r="C292" s="201" t="s">
        <v>1133</v>
      </c>
      <c r="D292" s="210" t="s">
        <v>13</v>
      </c>
      <c r="E292" s="203">
        <v>15</v>
      </c>
      <c r="F292" s="791">
        <f>CPUE!H1559</f>
        <v>38.4</v>
      </c>
      <c r="G292" s="791">
        <f>CPUE!I1559</f>
        <v>7.8664500000000004</v>
      </c>
      <c r="H292" s="786">
        <f t="shared" si="119"/>
        <v>693.99675000000002</v>
      </c>
      <c r="I292" s="786">
        <f t="shared" si="124"/>
        <v>691.27205344111587</v>
      </c>
      <c r="J292" s="189">
        <f t="shared" si="125"/>
        <v>157.86695845852142</v>
      </c>
      <c r="K292" s="786">
        <f t="shared" si="122"/>
        <v>849.13901189963735</v>
      </c>
      <c r="L292" s="709">
        <f t="shared" si="123"/>
        <v>3.1004219966362641E-4</v>
      </c>
      <c r="M292" s="190"/>
      <c r="N292" s="190"/>
      <c r="O292" s="190"/>
    </row>
    <row r="293" spans="1:15">
      <c r="A293" s="710" t="s">
        <v>2352</v>
      </c>
      <c r="B293" s="205" t="s">
        <v>962</v>
      </c>
      <c r="C293" s="211" t="s">
        <v>859</v>
      </c>
      <c r="D293" s="210" t="s">
        <v>13</v>
      </c>
      <c r="E293" s="203">
        <v>40</v>
      </c>
      <c r="F293" s="791">
        <f>CPUE!H1160</f>
        <v>8.3000000000000007</v>
      </c>
      <c r="G293" s="791">
        <f>CPUE!I1160</f>
        <v>2.1568000000000001</v>
      </c>
      <c r="H293" s="786">
        <f t="shared" si="119"/>
        <v>418.27200000000005</v>
      </c>
      <c r="I293" s="786">
        <f t="shared" si="124"/>
        <v>398.44153080286543</v>
      </c>
      <c r="J293" s="189">
        <f t="shared" si="125"/>
        <v>115.42265562512155</v>
      </c>
      <c r="K293" s="786">
        <f t="shared" si="122"/>
        <v>513.86418642798697</v>
      </c>
      <c r="L293" s="709">
        <f t="shared" si="123"/>
        <v>1.876248534760801E-4</v>
      </c>
      <c r="M293" s="190"/>
      <c r="N293" s="190"/>
      <c r="O293" s="190"/>
    </row>
    <row r="294" spans="1:15">
      <c r="A294" s="710" t="s">
        <v>2350</v>
      </c>
      <c r="B294" s="205" t="s">
        <v>963</v>
      </c>
      <c r="C294" s="211" t="s">
        <v>860</v>
      </c>
      <c r="D294" s="221" t="s">
        <v>737</v>
      </c>
      <c r="E294" s="203">
        <v>60</v>
      </c>
      <c r="F294" s="791">
        <f>CPUE!H1148</f>
        <v>2.35</v>
      </c>
      <c r="G294" s="791">
        <f>CPUE!I1148</f>
        <v>1.6175999999999999</v>
      </c>
      <c r="H294" s="786">
        <f t="shared" si="119"/>
        <v>238.05600000000001</v>
      </c>
      <c r="I294" s="786">
        <f t="shared" si="124"/>
        <v>169.21763808193984</v>
      </c>
      <c r="J294" s="189">
        <f t="shared" si="125"/>
        <v>129.85048757826172</v>
      </c>
      <c r="K294" s="786">
        <f t="shared" si="122"/>
        <v>299.06812566020153</v>
      </c>
      <c r="L294" s="709">
        <f t="shared" si="123"/>
        <v>1.091973613619887E-4</v>
      </c>
      <c r="M294" s="190"/>
      <c r="N294" s="190"/>
      <c r="O294" s="190"/>
    </row>
    <row r="295" spans="1:15">
      <c r="A295" s="710" t="s">
        <v>2351</v>
      </c>
      <c r="B295" s="205" t="s">
        <v>964</v>
      </c>
      <c r="C295" s="211" t="s">
        <v>861</v>
      </c>
      <c r="D295" s="221" t="s">
        <v>737</v>
      </c>
      <c r="E295" s="203">
        <v>60</v>
      </c>
      <c r="F295" s="791">
        <f>CPUE!H1154</f>
        <v>1.99</v>
      </c>
      <c r="G295" s="791">
        <f>CPUE!I1154</f>
        <v>0.53920000000000001</v>
      </c>
      <c r="H295" s="786">
        <f t="shared" si="119"/>
        <v>151.75199999999998</v>
      </c>
      <c r="I295" s="786">
        <f t="shared" si="124"/>
        <v>143.294936077898</v>
      </c>
      <c r="J295" s="189">
        <f t="shared" si="125"/>
        <v>43.283495859420576</v>
      </c>
      <c r="K295" s="786">
        <f t="shared" si="122"/>
        <v>186.57843193731858</v>
      </c>
      <c r="L295" s="709">
        <f t="shared" si="123"/>
        <v>6.8124519821818782E-5</v>
      </c>
      <c r="M295" s="190"/>
      <c r="N295" s="190"/>
      <c r="O295" s="190"/>
    </row>
    <row r="296" spans="1:15" ht="21.75" thickBot="1">
      <c r="A296" s="724" t="s">
        <v>2410</v>
      </c>
      <c r="B296" s="779" t="s">
        <v>965</v>
      </c>
      <c r="C296" s="752" t="s">
        <v>1023</v>
      </c>
      <c r="D296" s="712" t="s">
        <v>737</v>
      </c>
      <c r="E296" s="763">
        <v>60</v>
      </c>
      <c r="F296" s="794">
        <f>CPUE!H1566</f>
        <v>4.5</v>
      </c>
      <c r="G296" s="794">
        <f>CPUE!I1566</f>
        <v>3.4962</v>
      </c>
      <c r="H296" s="795">
        <f t="shared" si="119"/>
        <v>479.77199999999999</v>
      </c>
      <c r="I296" s="795">
        <f t="shared" si="124"/>
        <v>324.0337750505231</v>
      </c>
      <c r="J296" s="715">
        <f t="shared" si="125"/>
        <v>280.6523705929269</v>
      </c>
      <c r="K296" s="795">
        <f t="shared" si="122"/>
        <v>604.68614564345</v>
      </c>
      <c r="L296" s="716">
        <f t="shared" si="123"/>
        <v>2.2078625534116187E-4</v>
      </c>
      <c r="M296" s="190"/>
      <c r="N296" s="190"/>
      <c r="O296" s="190"/>
    </row>
    <row r="297" spans="1:15" ht="21.75" thickBot="1">
      <c r="A297" s="924" t="s">
        <v>193</v>
      </c>
      <c r="B297" s="925"/>
      <c r="C297" s="926" t="s">
        <v>142</v>
      </c>
      <c r="D297" s="927"/>
      <c r="E297" s="927"/>
      <c r="F297" s="927"/>
      <c r="G297" s="925"/>
      <c r="H297" s="833">
        <f>SUM(H298:H299)</f>
        <v>2072.6579999999999</v>
      </c>
      <c r="I297" s="833">
        <f>SUM(I298:I299)</f>
        <v>2109.819913106739</v>
      </c>
      <c r="J297" s="834">
        <f>SUM(J298:J299)</f>
        <v>420.97855588939046</v>
      </c>
      <c r="K297" s="833">
        <f>SUM(K298:K299)</f>
        <v>2530.7984689961295</v>
      </c>
      <c r="L297" s="830">
        <f t="shared" si="123"/>
        <v>9.2405873860102307E-4</v>
      </c>
      <c r="M297" s="190"/>
      <c r="N297" s="190"/>
      <c r="O297" s="190"/>
    </row>
    <row r="298" spans="1:15" ht="63">
      <c r="A298" s="717" t="s">
        <v>2411</v>
      </c>
      <c r="B298" s="777" t="s">
        <v>262</v>
      </c>
      <c r="C298" s="781" t="s">
        <v>1134</v>
      </c>
      <c r="D298" s="719" t="s">
        <v>13</v>
      </c>
      <c r="E298" s="720">
        <v>20</v>
      </c>
      <c r="F298" s="796">
        <f>CPUE!H1573</f>
        <v>77</v>
      </c>
      <c r="G298" s="796">
        <f>CPUE!I1573</f>
        <v>7.8664500000000004</v>
      </c>
      <c r="H298" s="784">
        <f>E298*(F298+G298)</f>
        <v>1697.329</v>
      </c>
      <c r="I298" s="784">
        <f>E298*F298*(1+$G$436)</f>
        <v>1848.1926428807612</v>
      </c>
      <c r="J298" s="722">
        <f>E298*G298*(1+$G$436)*(1+$H$7)</f>
        <v>210.48927794469523</v>
      </c>
      <c r="K298" s="784">
        <f>I298+J298</f>
        <v>2058.6819208254565</v>
      </c>
      <c r="L298" s="723">
        <f t="shared" si="123"/>
        <v>7.5167700717524496E-4</v>
      </c>
      <c r="M298" s="190"/>
      <c r="N298" s="190"/>
      <c r="O298" s="190"/>
    </row>
    <row r="299" spans="1:15" ht="63.75" thickBot="1">
      <c r="A299" s="724" t="s">
        <v>2412</v>
      </c>
      <c r="B299" s="779" t="s">
        <v>263</v>
      </c>
      <c r="C299" s="797" t="s">
        <v>1135</v>
      </c>
      <c r="D299" s="725" t="s">
        <v>13</v>
      </c>
      <c r="E299" s="726">
        <v>20</v>
      </c>
      <c r="F299" s="798">
        <f>CPUE!H1580</f>
        <v>10.9</v>
      </c>
      <c r="G299" s="798">
        <f>CPUE!I1580</f>
        <v>7.8664500000000004</v>
      </c>
      <c r="H299" s="795">
        <f>E299*(F299+G299)</f>
        <v>375.32899999999995</v>
      </c>
      <c r="I299" s="795">
        <f>E299*F299*(1+$G$436)</f>
        <v>261.6272702259779</v>
      </c>
      <c r="J299" s="715">
        <f>E299*G299*(1+$G$436)*(1+$H$7)</f>
        <v>210.48927794469523</v>
      </c>
      <c r="K299" s="795">
        <f>I299+J299</f>
        <v>472.11654817067313</v>
      </c>
      <c r="L299" s="716">
        <f t="shared" si="123"/>
        <v>1.7238173142577817E-4</v>
      </c>
      <c r="M299" s="190"/>
      <c r="N299" s="190"/>
      <c r="O299" s="190"/>
    </row>
    <row r="300" spans="1:15" ht="21.75" thickBot="1">
      <c r="A300" s="924" t="s">
        <v>194</v>
      </c>
      <c r="B300" s="925"/>
      <c r="C300" s="926" t="s">
        <v>1025</v>
      </c>
      <c r="D300" s="927"/>
      <c r="E300" s="927"/>
      <c r="F300" s="927"/>
      <c r="G300" s="925"/>
      <c r="H300" s="833">
        <f>SUM(H301:H304)</f>
        <v>2240.2529999999997</v>
      </c>
      <c r="I300" s="833">
        <f>SUM(I301:I304)</f>
        <v>2415.8518117655667</v>
      </c>
      <c r="J300" s="833">
        <f>SUM(J301:J304)</f>
        <v>304.04006814233759</v>
      </c>
      <c r="K300" s="833">
        <f>SUM(K301:K304)</f>
        <v>2719.8918799079038</v>
      </c>
      <c r="L300" s="830">
        <f t="shared" si="123"/>
        <v>9.9310154106257553E-4</v>
      </c>
      <c r="M300" s="190"/>
      <c r="N300" s="190"/>
      <c r="O300" s="190"/>
    </row>
    <row r="301" spans="1:15">
      <c r="A301" s="717" t="s">
        <v>2415</v>
      </c>
      <c r="B301" s="777" t="s">
        <v>264</v>
      </c>
      <c r="C301" s="799" t="s">
        <v>1599</v>
      </c>
      <c r="D301" s="741" t="s">
        <v>737</v>
      </c>
      <c r="E301" s="720">
        <v>4</v>
      </c>
      <c r="F301" s="721">
        <f>CPUE!H1601</f>
        <v>180</v>
      </c>
      <c r="G301" s="721">
        <f>CPUE!I1601</f>
        <v>17.481000000000002</v>
      </c>
      <c r="H301" s="784">
        <f>E301*(F301+G301)</f>
        <v>789.92399999999998</v>
      </c>
      <c r="I301" s="784">
        <f>E301*F301*(1+$G$436)</f>
        <v>864.09006680139487</v>
      </c>
      <c r="J301" s="722">
        <f>E301*G301*(1+$G$436)*(1+$H$7)</f>
        <v>93.550790197642328</v>
      </c>
      <c r="K301" s="784">
        <f>I301+J301</f>
        <v>957.64085699903717</v>
      </c>
      <c r="L301" s="723">
        <f t="shared" si="123"/>
        <v>3.4965897648197382E-4</v>
      </c>
      <c r="M301" s="190"/>
      <c r="N301" s="190"/>
      <c r="O301" s="190"/>
    </row>
    <row r="302" spans="1:15">
      <c r="A302" s="710" t="s">
        <v>2416</v>
      </c>
      <c r="B302" s="205" t="s">
        <v>265</v>
      </c>
      <c r="C302" s="212" t="s">
        <v>1600</v>
      </c>
      <c r="D302" s="221" t="s">
        <v>737</v>
      </c>
      <c r="E302" s="195">
        <v>3</v>
      </c>
      <c r="F302" s="196">
        <f>CPUE!H1608</f>
        <v>155</v>
      </c>
      <c r="G302" s="196">
        <f>CPUE!I1608</f>
        <v>17.481000000000002</v>
      </c>
      <c r="H302" s="786">
        <f>E302*(F302+G302)</f>
        <v>517.44299999999998</v>
      </c>
      <c r="I302" s="786">
        <f>E302*F302*(1+$G$436)</f>
        <v>558.05816814256752</v>
      </c>
      <c r="J302" s="189">
        <f>E302*G302*(1+$G$436)*(1+$H$7)</f>
        <v>70.163092648231739</v>
      </c>
      <c r="K302" s="786">
        <f>I302+J302</f>
        <v>628.22126079079931</v>
      </c>
      <c r="L302" s="709">
        <f t="shared" si="123"/>
        <v>2.2937952307160899E-4</v>
      </c>
      <c r="M302" s="190"/>
      <c r="N302" s="190"/>
      <c r="O302" s="190"/>
    </row>
    <row r="303" spans="1:15">
      <c r="A303" s="710" t="s">
        <v>2417</v>
      </c>
      <c r="B303" s="205" t="s">
        <v>1603</v>
      </c>
      <c r="C303" s="212" t="s">
        <v>1601</v>
      </c>
      <c r="D303" s="221" t="s">
        <v>737</v>
      </c>
      <c r="E303" s="195">
        <v>5</v>
      </c>
      <c r="F303" s="196">
        <f>CPUE!H1615</f>
        <v>132</v>
      </c>
      <c r="G303" s="196">
        <f>CPUE!I1615</f>
        <v>17.481000000000002</v>
      </c>
      <c r="H303" s="786">
        <f>E303*(F303+G303)</f>
        <v>747.40499999999997</v>
      </c>
      <c r="I303" s="786">
        <f>E303*F303*(1+$G$436)</f>
        <v>792.08256123461194</v>
      </c>
      <c r="J303" s="189">
        <f>E303*G303*(1+$G$436)*(1+$H$7)</f>
        <v>116.9384877470529</v>
      </c>
      <c r="K303" s="786">
        <f>I303+J303</f>
        <v>909.02104898166488</v>
      </c>
      <c r="L303" s="709">
        <f t="shared" si="123"/>
        <v>3.3190665087487876E-4</v>
      </c>
      <c r="M303" s="190"/>
      <c r="N303" s="190"/>
      <c r="O303" s="190"/>
    </row>
    <row r="304" spans="1:15" ht="21.75" thickBot="1">
      <c r="A304" s="724" t="s">
        <v>2418</v>
      </c>
      <c r="B304" s="779" t="s">
        <v>1604</v>
      </c>
      <c r="C304" s="800" t="s">
        <v>1602</v>
      </c>
      <c r="D304" s="712" t="s">
        <v>737</v>
      </c>
      <c r="E304" s="726">
        <v>1</v>
      </c>
      <c r="F304" s="714">
        <f>CPUE!H1622</f>
        <v>168</v>
      </c>
      <c r="G304" s="714">
        <f>CPUE!I1622</f>
        <v>17.481000000000002</v>
      </c>
      <c r="H304" s="795">
        <f>E304*(F304+G304)</f>
        <v>185.48099999999999</v>
      </c>
      <c r="I304" s="795">
        <f>E304*F304*(1+$G$436)</f>
        <v>201.62101558699214</v>
      </c>
      <c r="J304" s="715">
        <f>E304*G304*(1+$G$436)*(1+$H$7)</f>
        <v>23.387697549410582</v>
      </c>
      <c r="K304" s="795">
        <f>I304+J304</f>
        <v>225.00871313640272</v>
      </c>
      <c r="L304" s="716">
        <f t="shared" si="123"/>
        <v>8.2156390634114036E-5</v>
      </c>
      <c r="M304" s="190"/>
      <c r="N304" s="190"/>
      <c r="O304" s="190"/>
    </row>
    <row r="305" spans="1:15" ht="21.75" thickBot="1">
      <c r="A305" s="924" t="s">
        <v>1026</v>
      </c>
      <c r="B305" s="925"/>
      <c r="C305" s="926" t="s">
        <v>143</v>
      </c>
      <c r="D305" s="927"/>
      <c r="E305" s="927"/>
      <c r="F305" s="927"/>
      <c r="G305" s="925"/>
      <c r="H305" s="833">
        <f>SUM(H306:H324)</f>
        <v>131401.05627999999</v>
      </c>
      <c r="I305" s="833">
        <f>SUM(I306:I324)</f>
        <v>137195.00785936372</v>
      </c>
      <c r="J305" s="834">
        <f>SUM(J306:J324)</f>
        <v>22715.10163727418</v>
      </c>
      <c r="K305" s="833">
        <f>SUM(K306:K324)</f>
        <v>159910.10949663792</v>
      </c>
      <c r="L305" s="830">
        <f t="shared" si="123"/>
        <v>5.8387238605224837E-2</v>
      </c>
      <c r="M305" s="190"/>
      <c r="N305" s="190"/>
      <c r="O305" s="190"/>
    </row>
    <row r="306" spans="1:15" ht="42">
      <c r="A306" s="717" t="s">
        <v>2179</v>
      </c>
      <c r="B306" s="777" t="s">
        <v>1027</v>
      </c>
      <c r="C306" s="718" t="s">
        <v>1605</v>
      </c>
      <c r="D306" s="765" t="s">
        <v>13</v>
      </c>
      <c r="E306" s="761">
        <f>310</f>
        <v>310</v>
      </c>
      <c r="F306" s="801">
        <f>SUM('CPU SINAPI ND OBRA'!K1549:K1550)</f>
        <v>22.721343000000001</v>
      </c>
      <c r="G306" s="801">
        <f>SUM('CPU SINAPI ND OBRA'!K1547:K1548)</f>
        <v>6.2587800000000007</v>
      </c>
      <c r="H306" s="721">
        <f t="shared" ref="H306:H320" si="126">E306*(F306+G306)</f>
        <v>8983.8381300000001</v>
      </c>
      <c r="I306" s="784">
        <f t="shared" ref="I306:I324" si="127">E306*F306*(1+$G$436)</f>
        <v>8453.220701545968</v>
      </c>
      <c r="J306" s="722">
        <f t="shared" ref="J306:J317" si="128">E306*G306*(1+$G$436)*(1+$H$7)</f>
        <v>2595.8080565856067</v>
      </c>
      <c r="K306" s="784">
        <f t="shared" ref="K306:K320" si="129">I306+J306</f>
        <v>11049.028758131575</v>
      </c>
      <c r="L306" s="723">
        <f t="shared" si="123"/>
        <v>4.0342807624091015E-3</v>
      </c>
      <c r="M306" s="190"/>
      <c r="N306" s="190"/>
      <c r="O306" s="190"/>
    </row>
    <row r="307" spans="1:15">
      <c r="A307" s="710" t="s">
        <v>2429</v>
      </c>
      <c r="B307" s="205" t="s">
        <v>1028</v>
      </c>
      <c r="C307" s="194" t="s">
        <v>876</v>
      </c>
      <c r="D307" s="210" t="s">
        <v>15</v>
      </c>
      <c r="E307" s="203">
        <f>207</f>
        <v>207</v>
      </c>
      <c r="F307" s="217">
        <f>CPUE!H1682</f>
        <v>1.5</v>
      </c>
      <c r="G307" s="217">
        <f>CPUE!I1682</f>
        <v>1.0784</v>
      </c>
      <c r="H307" s="196">
        <f t="shared" si="126"/>
        <v>533.72880000000009</v>
      </c>
      <c r="I307" s="786">
        <f t="shared" si="127"/>
        <v>372.63884130810158</v>
      </c>
      <c r="J307" s="189">
        <f t="shared" si="128"/>
        <v>298.65612143000197</v>
      </c>
      <c r="K307" s="786">
        <f t="shared" si="129"/>
        <v>671.29496273810355</v>
      </c>
      <c r="L307" s="709">
        <f t="shared" si="123"/>
        <v>2.4510682462323768E-4</v>
      </c>
      <c r="M307" s="190"/>
      <c r="N307" s="190"/>
      <c r="O307" s="190"/>
    </row>
    <row r="308" spans="1:15">
      <c r="A308" s="710" t="s">
        <v>2352</v>
      </c>
      <c r="B308" s="205" t="s">
        <v>1029</v>
      </c>
      <c r="C308" s="194" t="s">
        <v>859</v>
      </c>
      <c r="D308" s="210" t="s">
        <v>13</v>
      </c>
      <c r="E308" s="203">
        <f>125</f>
        <v>125</v>
      </c>
      <c r="F308" s="217">
        <f>CPUE!H1160</f>
        <v>8.3000000000000007</v>
      </c>
      <c r="G308" s="217">
        <f>CPUE!I1160</f>
        <v>2.1568000000000001</v>
      </c>
      <c r="H308" s="196">
        <f t="shared" si="126"/>
        <v>1307.1000000000001</v>
      </c>
      <c r="I308" s="786">
        <f t="shared" si="127"/>
        <v>1245.1297837589545</v>
      </c>
      <c r="J308" s="189">
        <f t="shared" si="128"/>
        <v>360.69579882850479</v>
      </c>
      <c r="K308" s="786">
        <f t="shared" si="129"/>
        <v>1605.8255825874594</v>
      </c>
      <c r="L308" s="709">
        <f t="shared" si="123"/>
        <v>5.8632766711275033E-4</v>
      </c>
      <c r="M308" s="190"/>
      <c r="N308" s="190"/>
      <c r="O308" s="190"/>
    </row>
    <row r="309" spans="1:15">
      <c r="A309" s="710" t="s">
        <v>2350</v>
      </c>
      <c r="B309" s="205" t="s">
        <v>1030</v>
      </c>
      <c r="C309" s="194" t="s">
        <v>860</v>
      </c>
      <c r="D309" s="221" t="s">
        <v>737</v>
      </c>
      <c r="E309" s="203">
        <f>207</f>
        <v>207</v>
      </c>
      <c r="F309" s="217">
        <f>CPUE!H1148</f>
        <v>2.35</v>
      </c>
      <c r="G309" s="217">
        <f>CPUE!I1148</f>
        <v>1.6175999999999999</v>
      </c>
      <c r="H309" s="196">
        <f t="shared" si="126"/>
        <v>821.29319999999996</v>
      </c>
      <c r="I309" s="786">
        <f t="shared" si="127"/>
        <v>583.80085138269249</v>
      </c>
      <c r="J309" s="189">
        <f t="shared" si="128"/>
        <v>447.98418214500288</v>
      </c>
      <c r="K309" s="786">
        <f t="shared" si="129"/>
        <v>1031.7850335276953</v>
      </c>
      <c r="L309" s="709">
        <f t="shared" si="123"/>
        <v>3.7673089669886103E-4</v>
      </c>
      <c r="M309" s="190"/>
      <c r="N309" s="190"/>
      <c r="O309" s="190"/>
    </row>
    <row r="310" spans="1:15">
      <c r="A310" s="710" t="s">
        <v>2351</v>
      </c>
      <c r="B310" s="205" t="s">
        <v>1031</v>
      </c>
      <c r="C310" s="194" t="s">
        <v>861</v>
      </c>
      <c r="D310" s="221" t="s">
        <v>737</v>
      </c>
      <c r="E310" s="203">
        <f>207</f>
        <v>207</v>
      </c>
      <c r="F310" s="217">
        <f>CPUE!H1154</f>
        <v>1.99</v>
      </c>
      <c r="G310" s="217">
        <f>CPUE!I1154</f>
        <v>0.53920000000000001</v>
      </c>
      <c r="H310" s="196">
        <f t="shared" si="126"/>
        <v>523.5444</v>
      </c>
      <c r="I310" s="786">
        <f t="shared" si="127"/>
        <v>494.36752946874805</v>
      </c>
      <c r="J310" s="189">
        <f t="shared" si="128"/>
        <v>149.32806071500099</v>
      </c>
      <c r="K310" s="786">
        <f t="shared" si="129"/>
        <v>643.695590183749</v>
      </c>
      <c r="L310" s="709">
        <f t="shared" si="123"/>
        <v>2.3502959338527477E-4</v>
      </c>
      <c r="M310" s="190"/>
      <c r="N310" s="190"/>
      <c r="O310" s="190"/>
    </row>
    <row r="311" spans="1:15" s="213" customFormat="1">
      <c r="A311" s="710" t="s">
        <v>2430</v>
      </c>
      <c r="B311" s="205" t="s">
        <v>1032</v>
      </c>
      <c r="C311" s="194" t="s">
        <v>125</v>
      </c>
      <c r="D311" s="210" t="s">
        <v>13</v>
      </c>
      <c r="E311" s="203">
        <f>20</f>
        <v>20</v>
      </c>
      <c r="F311" s="217">
        <f>CPUE!H1688</f>
        <v>2.5</v>
      </c>
      <c r="G311" s="217">
        <f>CPUE!I1688</f>
        <v>1.6175999999999999</v>
      </c>
      <c r="H311" s="196">
        <f t="shared" si="126"/>
        <v>82.35199999999999</v>
      </c>
      <c r="I311" s="786">
        <f t="shared" si="127"/>
        <v>60.006254638985759</v>
      </c>
      <c r="J311" s="189">
        <f t="shared" si="128"/>
        <v>43.283495859420569</v>
      </c>
      <c r="K311" s="786">
        <f t="shared" si="129"/>
        <v>103.28975049840633</v>
      </c>
      <c r="L311" s="709">
        <f t="shared" si="123"/>
        <v>3.7713708825591094E-5</v>
      </c>
      <c r="M311" s="190"/>
      <c r="N311" s="190"/>
      <c r="O311" s="190"/>
    </row>
    <row r="312" spans="1:15" s="213" customFormat="1">
      <c r="A312" s="710" t="s">
        <v>2431</v>
      </c>
      <c r="B312" s="205" t="s">
        <v>1033</v>
      </c>
      <c r="C312" s="194" t="s">
        <v>126</v>
      </c>
      <c r="D312" s="210" t="s">
        <v>15</v>
      </c>
      <c r="E312" s="203">
        <f>90</f>
        <v>90</v>
      </c>
      <c r="F312" s="217">
        <f>CPUE!H1695</f>
        <v>5.5</v>
      </c>
      <c r="G312" s="217">
        <f>CPUE!I1695</f>
        <v>3.4820000000000002</v>
      </c>
      <c r="H312" s="196">
        <f t="shared" si="126"/>
        <v>808.37999999999988</v>
      </c>
      <c r="I312" s="786">
        <f t="shared" si="127"/>
        <v>594.06192092595904</v>
      </c>
      <c r="J312" s="189">
        <f t="shared" si="128"/>
        <v>419.26872936527013</v>
      </c>
      <c r="K312" s="786">
        <f t="shared" si="129"/>
        <v>1013.3306502912292</v>
      </c>
      <c r="L312" s="709">
        <f t="shared" si="123"/>
        <v>3.6999273310975745E-4</v>
      </c>
      <c r="M312" s="190"/>
      <c r="N312" s="190"/>
      <c r="O312" s="190"/>
    </row>
    <row r="313" spans="1:15">
      <c r="A313" s="710" t="s">
        <v>788</v>
      </c>
      <c r="B313" s="205" t="s">
        <v>1034</v>
      </c>
      <c r="C313" s="194" t="s">
        <v>1024</v>
      </c>
      <c r="D313" s="210" t="s">
        <v>15</v>
      </c>
      <c r="E313" s="203">
        <f>190</f>
        <v>190</v>
      </c>
      <c r="F313" s="217">
        <f>SUM('CPU SINAPI ND OBRA'!K1555:K1556)</f>
        <v>22.7</v>
      </c>
      <c r="G313" s="217">
        <f>SUM('CPU SINAPI ND OBRA'!K1553:K1554)</f>
        <v>32.283075000000004</v>
      </c>
      <c r="H313" s="196">
        <f t="shared" si="126"/>
        <v>10446.784250000001</v>
      </c>
      <c r="I313" s="786">
        <f t="shared" si="127"/>
        <v>5176.1395251589111</v>
      </c>
      <c r="J313" s="189">
        <f t="shared" si="128"/>
        <v>8206.3435085142846</v>
      </c>
      <c r="K313" s="786">
        <f t="shared" si="129"/>
        <v>13382.483033673196</v>
      </c>
      <c r="L313" s="709">
        <f t="shared" si="123"/>
        <v>4.8862841284833093E-3</v>
      </c>
      <c r="M313" s="190"/>
      <c r="N313" s="190"/>
      <c r="O313" s="190"/>
    </row>
    <row r="314" spans="1:15">
      <c r="A314" s="710" t="s">
        <v>2432</v>
      </c>
      <c r="B314" s="205" t="s">
        <v>1035</v>
      </c>
      <c r="C314" s="208" t="s">
        <v>127</v>
      </c>
      <c r="D314" s="214" t="s">
        <v>13</v>
      </c>
      <c r="E314" s="203">
        <f>310</f>
        <v>310</v>
      </c>
      <c r="F314" s="217">
        <f>CPUE!H1701</f>
        <v>6.3</v>
      </c>
      <c r="G314" s="217">
        <f>CPUE!I1701</f>
        <v>1.7410000000000001</v>
      </c>
      <c r="H314" s="196">
        <f t="shared" si="126"/>
        <v>2492.71</v>
      </c>
      <c r="I314" s="786">
        <f t="shared" si="127"/>
        <v>2343.8443061987837</v>
      </c>
      <c r="J314" s="189">
        <f t="shared" si="128"/>
        <v>722.0739227957431</v>
      </c>
      <c r="K314" s="786">
        <f t="shared" si="129"/>
        <v>3065.9182289945265</v>
      </c>
      <c r="L314" s="709">
        <f t="shared" si="123"/>
        <v>1.1194445413357399E-3</v>
      </c>
      <c r="M314" s="190"/>
      <c r="N314" s="190"/>
      <c r="O314" s="190"/>
    </row>
    <row r="315" spans="1:15" ht="42">
      <c r="A315" s="710" t="s">
        <v>2438</v>
      </c>
      <c r="B315" s="205" t="s">
        <v>1036</v>
      </c>
      <c r="C315" s="208" t="s">
        <v>1606</v>
      </c>
      <c r="D315" s="221" t="s">
        <v>737</v>
      </c>
      <c r="E315" s="203">
        <f>5</f>
        <v>5</v>
      </c>
      <c r="F315" s="217">
        <f>CPUE!H1742</f>
        <v>3500</v>
      </c>
      <c r="G315" s="217">
        <f>CPUE!I1742</f>
        <v>512.89030000000002</v>
      </c>
      <c r="H315" s="196">
        <f t="shared" si="126"/>
        <v>20064.451499999999</v>
      </c>
      <c r="I315" s="786">
        <f t="shared" si="127"/>
        <v>21002.189123645014</v>
      </c>
      <c r="J315" s="189">
        <f t="shared" si="128"/>
        <v>3430.9602461033287</v>
      </c>
      <c r="K315" s="196">
        <f t="shared" si="129"/>
        <v>24433.149369748342</v>
      </c>
      <c r="L315" s="709">
        <f t="shared" si="123"/>
        <v>8.9211628121522168E-3</v>
      </c>
      <c r="M315" s="190"/>
      <c r="N315" s="190"/>
      <c r="O315" s="190"/>
    </row>
    <row r="316" spans="1:15" ht="51" customHeight="1">
      <c r="A316" s="710" t="s">
        <v>2428</v>
      </c>
      <c r="B316" s="205" t="s">
        <v>1037</v>
      </c>
      <c r="C316" s="215" t="s">
        <v>1607</v>
      </c>
      <c r="D316" s="221" t="s">
        <v>737</v>
      </c>
      <c r="E316" s="203">
        <f>5</f>
        <v>5</v>
      </c>
      <c r="F316" s="217">
        <f>CPUE!H1677</f>
        <v>1050</v>
      </c>
      <c r="G316" s="217">
        <f>CPUE!I1677</f>
        <v>45.266000000000005</v>
      </c>
      <c r="H316" s="786">
        <f t="shared" si="126"/>
        <v>5476.33</v>
      </c>
      <c r="I316" s="786">
        <f t="shared" si="127"/>
        <v>6300.6567370935045</v>
      </c>
      <c r="J316" s="189">
        <f t="shared" si="128"/>
        <v>302.80519343047291</v>
      </c>
      <c r="K316" s="786">
        <f t="shared" si="129"/>
        <v>6603.4619305239776</v>
      </c>
      <c r="L316" s="709">
        <f t="shared" si="123"/>
        <v>2.4110915099218814E-3</v>
      </c>
      <c r="M316" s="190"/>
      <c r="N316" s="190"/>
      <c r="O316" s="190"/>
    </row>
    <row r="317" spans="1:15" s="197" customFormat="1" ht="42">
      <c r="A317" s="710" t="s">
        <v>2419</v>
      </c>
      <c r="B317" s="205" t="s">
        <v>1038</v>
      </c>
      <c r="C317" s="198" t="s">
        <v>1608</v>
      </c>
      <c r="D317" s="221" t="s">
        <v>737</v>
      </c>
      <c r="E317" s="203">
        <f>14</f>
        <v>14</v>
      </c>
      <c r="F317" s="217">
        <f>CPUE!H1629</f>
        <v>712</v>
      </c>
      <c r="G317" s="217">
        <f>CPUE!I1629</f>
        <v>69.64</v>
      </c>
      <c r="H317" s="786">
        <f t="shared" si="126"/>
        <v>10942.96</v>
      </c>
      <c r="I317" s="786">
        <f t="shared" si="127"/>
        <v>11962.8469248282</v>
      </c>
      <c r="J317" s="189">
        <f t="shared" si="128"/>
        <v>1304.3916024697294</v>
      </c>
      <c r="K317" s="786">
        <f t="shared" si="129"/>
        <v>13267.23852729793</v>
      </c>
      <c r="L317" s="709">
        <f t="shared" si="123"/>
        <v>4.8442054349419512E-3</v>
      </c>
      <c r="M317" s="190"/>
      <c r="N317" s="190"/>
      <c r="O317" s="190"/>
    </row>
    <row r="318" spans="1:15" ht="42">
      <c r="A318" s="710" t="s">
        <v>2421</v>
      </c>
      <c r="B318" s="205" t="s">
        <v>2274</v>
      </c>
      <c r="C318" s="215" t="s">
        <v>2275</v>
      </c>
      <c r="D318" s="221" t="s">
        <v>737</v>
      </c>
      <c r="E318" s="203">
        <v>6</v>
      </c>
      <c r="F318" s="217">
        <f>CPUE!H1635</f>
        <v>2836.46</v>
      </c>
      <c r="G318" s="217">
        <f>CPUE!I1635</f>
        <v>69.64</v>
      </c>
      <c r="H318" s="786">
        <f t="shared" si="126"/>
        <v>17436.599999999999</v>
      </c>
      <c r="I318" s="786">
        <f t="shared" si="127"/>
        <v>20424.640923995707</v>
      </c>
      <c r="J318" s="189">
        <f>E318*G318*(1+$G$452)</f>
        <v>417.84000000000003</v>
      </c>
      <c r="K318" s="786">
        <f t="shared" si="129"/>
        <v>20842.480923995707</v>
      </c>
      <c r="L318" s="709">
        <f t="shared" si="123"/>
        <v>7.6101186514400468E-3</v>
      </c>
      <c r="M318" s="190"/>
      <c r="N318" s="190"/>
      <c r="O318" s="190"/>
    </row>
    <row r="319" spans="1:15" s="197" customFormat="1" ht="42">
      <c r="A319" s="710" t="s">
        <v>2427</v>
      </c>
      <c r="B319" s="205" t="s">
        <v>1039</v>
      </c>
      <c r="C319" s="198" t="s">
        <v>1609</v>
      </c>
      <c r="D319" s="221" t="s">
        <v>737</v>
      </c>
      <c r="E319" s="203">
        <f>14</f>
        <v>14</v>
      </c>
      <c r="F319" s="217">
        <f>CPUE!H1671</f>
        <v>410</v>
      </c>
      <c r="G319" s="217">
        <f>CPUE!I1671</f>
        <v>45.266000000000005</v>
      </c>
      <c r="H319" s="786">
        <f t="shared" si="126"/>
        <v>6373.7240000000002</v>
      </c>
      <c r="I319" s="786">
        <f t="shared" si="127"/>
        <v>6888.7180325555646</v>
      </c>
      <c r="J319" s="189">
        <f t="shared" ref="J319:J324" si="130">E319*G319*(1+$G$436)*(1+$H$7)</f>
        <v>847.85454160532413</v>
      </c>
      <c r="K319" s="786">
        <f t="shared" si="129"/>
        <v>7736.5725741608885</v>
      </c>
      <c r="L319" s="709">
        <f t="shared" si="123"/>
        <v>2.8248189579512958E-3</v>
      </c>
      <c r="M319" s="190"/>
      <c r="N319" s="190"/>
      <c r="O319" s="190"/>
    </row>
    <row r="320" spans="1:15" ht="42">
      <c r="A320" s="710" t="s">
        <v>2422</v>
      </c>
      <c r="B320" s="205" t="s">
        <v>1040</v>
      </c>
      <c r="C320" s="215" t="s">
        <v>1610</v>
      </c>
      <c r="D320" s="221" t="s">
        <v>737</v>
      </c>
      <c r="E320" s="203">
        <f>7</f>
        <v>7</v>
      </c>
      <c r="F320" s="216">
        <f>CPUE!H1641</f>
        <v>110</v>
      </c>
      <c r="G320" s="217">
        <f>CPUE!I1641</f>
        <v>69.64</v>
      </c>
      <c r="H320" s="786">
        <f t="shared" si="126"/>
        <v>1257.48</v>
      </c>
      <c r="I320" s="786">
        <f t="shared" si="127"/>
        <v>924.09632144038062</v>
      </c>
      <c r="J320" s="189">
        <f t="shared" si="130"/>
        <v>652.19580123486469</v>
      </c>
      <c r="K320" s="786">
        <f t="shared" si="129"/>
        <v>1576.2921226752453</v>
      </c>
      <c r="L320" s="709">
        <f t="shared" si="123"/>
        <v>5.7554425150406713E-4</v>
      </c>
      <c r="M320" s="190"/>
      <c r="N320" s="190"/>
      <c r="O320" s="190"/>
    </row>
    <row r="321" spans="1:17" ht="42">
      <c r="A321" s="710" t="s">
        <v>2423</v>
      </c>
      <c r="B321" s="205" t="s">
        <v>1614</v>
      </c>
      <c r="C321" s="215" t="s">
        <v>1611</v>
      </c>
      <c r="D321" s="221" t="s">
        <v>737</v>
      </c>
      <c r="E321" s="203">
        <f>7</f>
        <v>7</v>
      </c>
      <c r="F321" s="216">
        <f>CPUE!H1647</f>
        <v>131.91</v>
      </c>
      <c r="G321" s="217">
        <f>CPUE!I1647</f>
        <v>69.64</v>
      </c>
      <c r="H321" s="786">
        <f t="shared" ref="H321:H324" si="131">E321*(F321+G321)</f>
        <v>1410.8500000000001</v>
      </c>
      <c r="I321" s="786">
        <f t="shared" si="127"/>
        <v>1108.1595069200055</v>
      </c>
      <c r="J321" s="189">
        <f t="shared" si="130"/>
        <v>652.19580123486469</v>
      </c>
      <c r="K321" s="786">
        <f t="shared" ref="K321:K324" si="132">I321+J321</f>
        <v>1760.3553081548703</v>
      </c>
      <c r="L321" s="709">
        <f t="shared" si="123"/>
        <v>6.4275039102123491E-4</v>
      </c>
      <c r="M321" s="190"/>
      <c r="N321" s="190"/>
      <c r="O321" s="190"/>
    </row>
    <row r="322" spans="1:17" s="68" customFormat="1" ht="42">
      <c r="A322" s="710" t="s">
        <v>2424</v>
      </c>
      <c r="B322" s="205" t="s">
        <v>2277</v>
      </c>
      <c r="C322" s="215" t="s">
        <v>2278</v>
      </c>
      <c r="D322" s="221" t="s">
        <v>737</v>
      </c>
      <c r="E322" s="203">
        <v>3</v>
      </c>
      <c r="F322" s="216">
        <f>CPUE!H1653</f>
        <v>3696.76</v>
      </c>
      <c r="G322" s="217">
        <f>CPUE!I1653</f>
        <v>69.64</v>
      </c>
      <c r="H322" s="786">
        <f t="shared" si="131"/>
        <v>11299.2</v>
      </c>
      <c r="I322" s="786">
        <f t="shared" si="127"/>
        <v>13309.72331395302</v>
      </c>
      <c r="J322" s="189">
        <f t="shared" si="130"/>
        <v>279.51248624351348</v>
      </c>
      <c r="K322" s="786">
        <f t="shared" si="132"/>
        <v>13589.235800196533</v>
      </c>
      <c r="L322" s="709">
        <f t="shared" si="123"/>
        <v>4.9617748097747398E-3</v>
      </c>
      <c r="M322" s="625"/>
      <c r="N322" s="626"/>
      <c r="O322" s="626"/>
      <c r="P322" s="626"/>
      <c r="Q322" s="626"/>
    </row>
    <row r="323" spans="1:17" ht="42">
      <c r="A323" s="710" t="s">
        <v>2425</v>
      </c>
      <c r="B323" s="205" t="s">
        <v>2277</v>
      </c>
      <c r="C323" s="215" t="s">
        <v>1612</v>
      </c>
      <c r="D323" s="221" t="s">
        <v>737</v>
      </c>
      <c r="E323" s="203">
        <f>4</f>
        <v>4</v>
      </c>
      <c r="F323" s="216">
        <f>CPUE!H1659</f>
        <v>1280</v>
      </c>
      <c r="G323" s="217">
        <f>CPUE!I1659</f>
        <v>69.64</v>
      </c>
      <c r="H323" s="786">
        <f t="shared" si="131"/>
        <v>5398.56</v>
      </c>
      <c r="I323" s="786">
        <f t="shared" si="127"/>
        <v>6144.6404750321417</v>
      </c>
      <c r="J323" s="189">
        <f t="shared" si="130"/>
        <v>372.68331499135121</v>
      </c>
      <c r="K323" s="786">
        <f t="shared" si="132"/>
        <v>6517.3237900234926</v>
      </c>
      <c r="L323" s="709">
        <f t="shared" si="123"/>
        <v>2.3796402891188718E-3</v>
      </c>
      <c r="M323" s="190"/>
      <c r="N323" s="190"/>
      <c r="O323" s="190"/>
    </row>
    <row r="324" spans="1:17" ht="42.75" thickBot="1">
      <c r="A324" s="835" t="s">
        <v>2426</v>
      </c>
      <c r="B324" s="836" t="s">
        <v>1615</v>
      </c>
      <c r="C324" s="837" t="s">
        <v>1613</v>
      </c>
      <c r="D324" s="838" t="s">
        <v>737</v>
      </c>
      <c r="E324" s="839">
        <f>13</f>
        <v>13</v>
      </c>
      <c r="F324" s="840">
        <f>CPUE!H1665</f>
        <v>1910.45</v>
      </c>
      <c r="G324" s="841">
        <f>CPUE!I1665</f>
        <v>69.64</v>
      </c>
      <c r="H324" s="842">
        <f t="shared" si="131"/>
        <v>25741.170000000002</v>
      </c>
      <c r="I324" s="842">
        <f t="shared" si="127"/>
        <v>29806.12678551309</v>
      </c>
      <c r="J324" s="843">
        <f t="shared" si="130"/>
        <v>1211.2207737218916</v>
      </c>
      <c r="K324" s="842">
        <f t="shared" si="132"/>
        <v>31017.347559234982</v>
      </c>
      <c r="L324" s="844">
        <f t="shared" si="123"/>
        <v>1.1325220641414903E-2</v>
      </c>
      <c r="M324" s="190"/>
      <c r="N324" s="190"/>
      <c r="O324" s="190"/>
    </row>
    <row r="325" spans="1:17" s="218" customFormat="1" ht="21.75" thickBot="1">
      <c r="A325" s="924">
        <v>6</v>
      </c>
      <c r="B325" s="925"/>
      <c r="C325" s="926" t="s">
        <v>128</v>
      </c>
      <c r="D325" s="927"/>
      <c r="E325" s="927"/>
      <c r="F325" s="927"/>
      <c r="G325" s="925"/>
      <c r="H325" s="833">
        <f>SUM(H326:H345)</f>
        <v>45779.191085999999</v>
      </c>
      <c r="I325" s="833">
        <f t="shared" ref="I325:K325" si="133">SUM(I326:I345)</f>
        <v>50131.289491784046</v>
      </c>
      <c r="J325" s="834">
        <f t="shared" si="133"/>
        <v>5361.5650563769859</v>
      </c>
      <c r="K325" s="833">
        <f t="shared" si="133"/>
        <v>55492.854548161034</v>
      </c>
      <c r="L325" s="830">
        <f t="shared" si="123"/>
        <v>2.0261849295129378E-2</v>
      </c>
      <c r="M325" s="190"/>
      <c r="N325" s="277"/>
      <c r="O325" s="277"/>
    </row>
    <row r="326" spans="1:17" s="193" customFormat="1">
      <c r="A326" s="187" t="s">
        <v>2179</v>
      </c>
      <c r="B326" s="845" t="s">
        <v>266</v>
      </c>
      <c r="C326" s="188" t="s">
        <v>1120</v>
      </c>
      <c r="D326" s="846" t="s">
        <v>13</v>
      </c>
      <c r="E326" s="847">
        <v>82</v>
      </c>
      <c r="F326" s="848">
        <f>SUM('CPU SINAPI ND OBRA'!K1549:K1550)</f>
        <v>22.721343000000001</v>
      </c>
      <c r="G326" s="849">
        <f>SUM('CPU SINAPI ND OBRA'!K1547:K1548)</f>
        <v>6.2587800000000007</v>
      </c>
      <c r="H326" s="850">
        <f t="shared" ref="H326:H345" si="134">E326*(F326+G326)</f>
        <v>2376.3700860000004</v>
      </c>
      <c r="I326" s="850">
        <f t="shared" ref="I326:I345" si="135">E326*F326*(1+$G$436)</f>
        <v>2236.0132178282879</v>
      </c>
      <c r="J326" s="189">
        <f t="shared" ref="J326:J345" si="136">E326*G326*(1+$G$436)*(1+$H$7)</f>
        <v>686.63309883877321</v>
      </c>
      <c r="K326" s="850">
        <f t="shared" ref="K326:K345" si="137">I326+J326</f>
        <v>2922.646316667061</v>
      </c>
      <c r="L326" s="851">
        <f t="shared" si="123"/>
        <v>1.0671323307017621E-3</v>
      </c>
      <c r="M326" s="190"/>
      <c r="N326" s="278"/>
      <c r="O326" s="278"/>
    </row>
    <row r="327" spans="1:17" s="193" customFormat="1">
      <c r="A327" s="710" t="s">
        <v>2429</v>
      </c>
      <c r="B327" s="205" t="s">
        <v>267</v>
      </c>
      <c r="C327" s="194" t="s">
        <v>876</v>
      </c>
      <c r="D327" s="221" t="s">
        <v>737</v>
      </c>
      <c r="E327" s="195">
        <v>55</v>
      </c>
      <c r="F327" s="204">
        <f>CPUE!H1682</f>
        <v>1.5</v>
      </c>
      <c r="G327" s="204">
        <f>CPUE!I1682</f>
        <v>1.0784</v>
      </c>
      <c r="H327" s="786">
        <f t="shared" si="134"/>
        <v>141.81200000000001</v>
      </c>
      <c r="I327" s="786">
        <f t="shared" si="135"/>
        <v>99.010320154326493</v>
      </c>
      <c r="J327" s="189">
        <f t="shared" si="136"/>
        <v>79.353075742271059</v>
      </c>
      <c r="K327" s="786">
        <f t="shared" si="137"/>
        <v>178.36339589659755</v>
      </c>
      <c r="L327" s="709">
        <f t="shared" si="123"/>
        <v>6.5125001711488275E-5</v>
      </c>
      <c r="M327" s="190"/>
      <c r="N327" s="278"/>
      <c r="O327" s="278"/>
    </row>
    <row r="328" spans="1:17" s="191" customFormat="1">
      <c r="A328" s="710" t="s">
        <v>2352</v>
      </c>
      <c r="B328" s="205" t="s">
        <v>268</v>
      </c>
      <c r="C328" s="194" t="s">
        <v>859</v>
      </c>
      <c r="D328" s="210" t="s">
        <v>13</v>
      </c>
      <c r="E328" s="195">
        <v>33</v>
      </c>
      <c r="F328" s="204">
        <f>CPUE!H1160</f>
        <v>8.3000000000000007</v>
      </c>
      <c r="G328" s="204">
        <f>CPUE!I1160</f>
        <v>2.1568000000000001</v>
      </c>
      <c r="H328" s="786">
        <f t="shared" si="134"/>
        <v>345.07440000000003</v>
      </c>
      <c r="I328" s="786">
        <f t="shared" si="135"/>
        <v>328.71426291236401</v>
      </c>
      <c r="J328" s="189">
        <f t="shared" si="136"/>
        <v>95.22369089072528</v>
      </c>
      <c r="K328" s="786">
        <f t="shared" si="137"/>
        <v>423.93795380308927</v>
      </c>
      <c r="L328" s="709">
        <f t="shared" si="123"/>
        <v>1.5479050411776609E-4</v>
      </c>
      <c r="M328" s="190"/>
      <c r="N328" s="278"/>
      <c r="O328" s="278"/>
    </row>
    <row r="329" spans="1:17" s="191" customFormat="1">
      <c r="A329" s="710" t="s">
        <v>2350</v>
      </c>
      <c r="B329" s="205" t="s">
        <v>269</v>
      </c>
      <c r="C329" s="194" t="s">
        <v>860</v>
      </c>
      <c r="D329" s="221" t="s">
        <v>737</v>
      </c>
      <c r="E329" s="195">
        <v>55</v>
      </c>
      <c r="F329" s="204">
        <f>CPUE!H1148</f>
        <v>2.35</v>
      </c>
      <c r="G329" s="204">
        <f>CPUE!I1148</f>
        <v>1.6175999999999999</v>
      </c>
      <c r="H329" s="786">
        <f t="shared" si="134"/>
        <v>218.21799999999999</v>
      </c>
      <c r="I329" s="786">
        <f t="shared" si="135"/>
        <v>155.11616824177818</v>
      </c>
      <c r="J329" s="189">
        <f t="shared" si="136"/>
        <v>119.02961361340657</v>
      </c>
      <c r="K329" s="786">
        <f t="shared" si="137"/>
        <v>274.14578185518474</v>
      </c>
      <c r="L329" s="709">
        <f t="shared" si="123"/>
        <v>1.0009758124848963E-4</v>
      </c>
      <c r="M329" s="190"/>
      <c r="N329" s="278"/>
      <c r="O329" s="278"/>
    </row>
    <row r="330" spans="1:17" s="191" customFormat="1">
      <c r="A330" s="710" t="s">
        <v>2351</v>
      </c>
      <c r="B330" s="205" t="s">
        <v>270</v>
      </c>
      <c r="C330" s="194" t="s">
        <v>861</v>
      </c>
      <c r="D330" s="221" t="s">
        <v>737</v>
      </c>
      <c r="E330" s="195">
        <v>55</v>
      </c>
      <c r="F330" s="204">
        <f>CPUE!H1154</f>
        <v>1.99</v>
      </c>
      <c r="G330" s="204">
        <f>CPUE!I1154</f>
        <v>0.53920000000000001</v>
      </c>
      <c r="H330" s="786">
        <f t="shared" si="134"/>
        <v>139.10599999999999</v>
      </c>
      <c r="I330" s="786">
        <f t="shared" si="135"/>
        <v>131.35369140473983</v>
      </c>
      <c r="J330" s="189">
        <f t="shared" si="136"/>
        <v>39.67653787113553</v>
      </c>
      <c r="K330" s="786">
        <f t="shared" si="137"/>
        <v>171.03022927587537</v>
      </c>
      <c r="L330" s="709">
        <f t="shared" ref="L330:L376" si="138">K330/$K$436</f>
        <v>6.2447476503333881E-5</v>
      </c>
      <c r="M330" s="190"/>
      <c r="N330" s="278"/>
      <c r="O330" s="278"/>
    </row>
    <row r="331" spans="1:17" s="193" customFormat="1">
      <c r="A331" s="710" t="s">
        <v>2430</v>
      </c>
      <c r="B331" s="205" t="s">
        <v>271</v>
      </c>
      <c r="C331" s="194" t="s">
        <v>125</v>
      </c>
      <c r="D331" s="222" t="s">
        <v>13</v>
      </c>
      <c r="E331" s="195">
        <v>1</v>
      </c>
      <c r="F331" s="204">
        <f>CPUE!H1688</f>
        <v>2.5</v>
      </c>
      <c r="G331" s="204">
        <f>CPUE!I1688</f>
        <v>1.6175999999999999</v>
      </c>
      <c r="H331" s="786">
        <f t="shared" si="134"/>
        <v>4.1175999999999995</v>
      </c>
      <c r="I331" s="786">
        <f t="shared" si="135"/>
        <v>3.0003127319492879</v>
      </c>
      <c r="J331" s="189">
        <f t="shared" si="136"/>
        <v>2.1641747929710284</v>
      </c>
      <c r="K331" s="786">
        <f t="shared" si="137"/>
        <v>5.1644875249203164</v>
      </c>
      <c r="L331" s="709">
        <f t="shared" si="138"/>
        <v>1.8856854412795546E-6</v>
      </c>
      <c r="M331" s="190"/>
      <c r="N331" s="278"/>
      <c r="O331" s="278"/>
    </row>
    <row r="332" spans="1:17" s="193" customFormat="1">
      <c r="A332" s="710" t="s">
        <v>2431</v>
      </c>
      <c r="B332" s="205" t="s">
        <v>272</v>
      </c>
      <c r="C332" s="194" t="s">
        <v>126</v>
      </c>
      <c r="D332" s="221" t="s">
        <v>737</v>
      </c>
      <c r="E332" s="195">
        <v>8</v>
      </c>
      <c r="F332" s="204">
        <f>CPUE!H1695</f>
        <v>5.5</v>
      </c>
      <c r="G332" s="204">
        <f>CPUE!I1695</f>
        <v>3.4820000000000002</v>
      </c>
      <c r="H332" s="786">
        <f>E332*(F332+G332)</f>
        <v>71.855999999999995</v>
      </c>
      <c r="I332" s="786">
        <f t="shared" si="135"/>
        <v>52.805504082307465</v>
      </c>
      <c r="J332" s="189">
        <f t="shared" si="136"/>
        <v>37.26833149913513</v>
      </c>
      <c r="K332" s="786">
        <f t="shared" si="137"/>
        <v>90.073835581442594</v>
      </c>
      <c r="L332" s="709">
        <f t="shared" si="138"/>
        <v>3.2888242943089549E-5</v>
      </c>
      <c r="M332" s="190"/>
      <c r="N332" s="278"/>
      <c r="O332" s="278"/>
    </row>
    <row r="333" spans="1:17" s="191" customFormat="1">
      <c r="A333" s="710" t="s">
        <v>788</v>
      </c>
      <c r="B333" s="205" t="s">
        <v>273</v>
      </c>
      <c r="C333" s="194" t="s">
        <v>745</v>
      </c>
      <c r="D333" s="221" t="s">
        <v>737</v>
      </c>
      <c r="E333" s="195">
        <v>24</v>
      </c>
      <c r="F333" s="204">
        <f>SUM('CPU SINAPI ND OBRA'!K1555:K1556)</f>
        <v>22.7</v>
      </c>
      <c r="G333" s="204">
        <f>SUM('CPU SINAPI ND OBRA'!K1553:K1554)</f>
        <v>32.283075000000004</v>
      </c>
      <c r="H333" s="786">
        <f>E333*(F333+G333)</f>
        <v>1319.5938000000001</v>
      </c>
      <c r="I333" s="786">
        <f t="shared" si="135"/>
        <v>653.82815054638877</v>
      </c>
      <c r="J333" s="189">
        <f t="shared" si="136"/>
        <v>1036.5907589702256</v>
      </c>
      <c r="K333" s="786">
        <f t="shared" si="137"/>
        <v>1690.4189095166143</v>
      </c>
      <c r="L333" s="709">
        <f t="shared" si="138"/>
        <v>6.1721483728210231E-4</v>
      </c>
      <c r="M333" s="190"/>
      <c r="N333" s="278"/>
      <c r="O333" s="278"/>
    </row>
    <row r="334" spans="1:17" s="191" customFormat="1">
      <c r="A334" s="710" t="s">
        <v>2432</v>
      </c>
      <c r="B334" s="205" t="s">
        <v>274</v>
      </c>
      <c r="C334" s="194" t="s">
        <v>127</v>
      </c>
      <c r="D334" s="222" t="s">
        <v>13</v>
      </c>
      <c r="E334" s="195">
        <v>82</v>
      </c>
      <c r="F334" s="204">
        <f>CPUE!H1701</f>
        <v>6.3</v>
      </c>
      <c r="G334" s="204">
        <f>CPUE!I1701</f>
        <v>1.7410000000000001</v>
      </c>
      <c r="H334" s="786">
        <f t="shared" si="134"/>
        <v>659.36200000000008</v>
      </c>
      <c r="I334" s="786">
        <f t="shared" si="135"/>
        <v>619.98462293000091</v>
      </c>
      <c r="J334" s="189">
        <f t="shared" si="136"/>
        <v>191.00019893306751</v>
      </c>
      <c r="K334" s="786">
        <f t="shared" si="137"/>
        <v>810.98482186306842</v>
      </c>
      <c r="L334" s="709">
        <f t="shared" si="138"/>
        <v>2.9611113674042156E-4</v>
      </c>
      <c r="M334" s="190"/>
      <c r="N334" s="278"/>
      <c r="O334" s="278"/>
    </row>
    <row r="335" spans="1:17" s="191" customFormat="1" ht="42">
      <c r="A335" s="710" t="s">
        <v>1382</v>
      </c>
      <c r="B335" s="205" t="s">
        <v>1391</v>
      </c>
      <c r="C335" s="194" t="s">
        <v>2157</v>
      </c>
      <c r="D335" s="221" t="s">
        <v>737</v>
      </c>
      <c r="E335" s="195">
        <v>4</v>
      </c>
      <c r="F335" s="204">
        <f>CPUE!H446</f>
        <v>4123.21</v>
      </c>
      <c r="G335" s="204">
        <f>CPUE!I446</f>
        <v>69.64</v>
      </c>
      <c r="H335" s="786">
        <f t="shared" si="134"/>
        <v>16771.400000000001</v>
      </c>
      <c r="I335" s="786">
        <f t="shared" si="135"/>
        <v>19793.471135200998</v>
      </c>
      <c r="J335" s="189">
        <f t="shared" si="136"/>
        <v>372.68331499135121</v>
      </c>
      <c r="K335" s="786">
        <f t="shared" si="137"/>
        <v>20166.154450192349</v>
      </c>
      <c r="L335" s="709">
        <f t="shared" si="138"/>
        <v>7.3631746944551558E-3</v>
      </c>
      <c r="M335" s="190"/>
      <c r="N335" s="190"/>
      <c r="O335" s="190"/>
    </row>
    <row r="336" spans="1:17" s="191" customFormat="1" ht="63">
      <c r="A336" s="710" t="s">
        <v>1383</v>
      </c>
      <c r="B336" s="205" t="s">
        <v>1392</v>
      </c>
      <c r="C336" s="194" t="s">
        <v>2158</v>
      </c>
      <c r="D336" s="221" t="s">
        <v>737</v>
      </c>
      <c r="E336" s="195">
        <v>4</v>
      </c>
      <c r="F336" s="204">
        <f>CPUE!H453</f>
        <v>539.62</v>
      </c>
      <c r="G336" s="802">
        <f>CPUE!I453</f>
        <v>69.64</v>
      </c>
      <c r="H336" s="786">
        <f t="shared" si="134"/>
        <v>2437.04</v>
      </c>
      <c r="I336" s="786">
        <f t="shared" si="135"/>
        <v>2590.4460102631597</v>
      </c>
      <c r="J336" s="189">
        <f t="shared" si="136"/>
        <v>372.68331499135121</v>
      </c>
      <c r="K336" s="786">
        <f t="shared" si="137"/>
        <v>2963.1293252545111</v>
      </c>
      <c r="L336" s="709">
        <f t="shared" si="138"/>
        <v>1.0819137043703386E-3</v>
      </c>
      <c r="M336" s="190"/>
      <c r="N336" s="190"/>
      <c r="O336" s="190"/>
    </row>
    <row r="337" spans="1:15" s="191" customFormat="1" ht="42">
      <c r="A337" s="710" t="s">
        <v>1384</v>
      </c>
      <c r="B337" s="205" t="s">
        <v>1393</v>
      </c>
      <c r="C337" s="194" t="s">
        <v>2159</v>
      </c>
      <c r="D337" s="221" t="s">
        <v>737</v>
      </c>
      <c r="E337" s="195">
        <v>3</v>
      </c>
      <c r="F337" s="204">
        <f>CPUE!H460</f>
        <v>204.19</v>
      </c>
      <c r="G337" s="204">
        <f>CPUE!I460</f>
        <v>69.64</v>
      </c>
      <c r="H337" s="786">
        <f t="shared" si="134"/>
        <v>821.49</v>
      </c>
      <c r="I337" s="786">
        <f t="shared" si="135"/>
        <v>735.16062808407003</v>
      </c>
      <c r="J337" s="189">
        <f t="shared" si="136"/>
        <v>279.51248624351348</v>
      </c>
      <c r="K337" s="786">
        <f t="shared" si="137"/>
        <v>1014.6731143275836</v>
      </c>
      <c r="L337" s="709">
        <f t="shared" si="138"/>
        <v>3.7048290079369121E-4</v>
      </c>
      <c r="M337" s="190"/>
      <c r="N337" s="190"/>
      <c r="O337" s="190"/>
    </row>
    <row r="338" spans="1:15" s="191" customFormat="1" ht="42">
      <c r="A338" s="710" t="s">
        <v>1385</v>
      </c>
      <c r="B338" s="205" t="s">
        <v>1394</v>
      </c>
      <c r="C338" s="194" t="s">
        <v>2160</v>
      </c>
      <c r="D338" s="221" t="s">
        <v>737</v>
      </c>
      <c r="E338" s="195">
        <v>1</v>
      </c>
      <c r="F338" s="204">
        <f>CPUE!H467</f>
        <v>118.24</v>
      </c>
      <c r="G338" s="802">
        <f>CPUE!I467</f>
        <v>69.64</v>
      </c>
      <c r="H338" s="786">
        <f t="shared" si="134"/>
        <v>187.88</v>
      </c>
      <c r="I338" s="786">
        <f t="shared" si="135"/>
        <v>141.90279097027351</v>
      </c>
      <c r="J338" s="189">
        <f t="shared" si="136"/>
        <v>93.170828747837803</v>
      </c>
      <c r="K338" s="786">
        <f t="shared" si="137"/>
        <v>235.07361971811133</v>
      </c>
      <c r="L338" s="709">
        <f t="shared" si="138"/>
        <v>8.5831343418371077E-5</v>
      </c>
      <c r="M338" s="190"/>
      <c r="N338" s="190"/>
      <c r="O338" s="190"/>
    </row>
    <row r="339" spans="1:15" s="191" customFormat="1" ht="42">
      <c r="A339" s="710" t="s">
        <v>1386</v>
      </c>
      <c r="B339" s="205" t="s">
        <v>1395</v>
      </c>
      <c r="C339" s="194" t="s">
        <v>2161</v>
      </c>
      <c r="D339" s="221" t="s">
        <v>737</v>
      </c>
      <c r="E339" s="195">
        <v>4</v>
      </c>
      <c r="F339" s="204">
        <f>CPUE!H474</f>
        <v>259.89999999999998</v>
      </c>
      <c r="G339" s="802">
        <f>CPUE!I474</f>
        <v>45.266000000000005</v>
      </c>
      <c r="H339" s="786">
        <f t="shared" si="134"/>
        <v>1220.664</v>
      </c>
      <c r="I339" s="786">
        <f t="shared" si="135"/>
        <v>1247.6500464537917</v>
      </c>
      <c r="J339" s="189">
        <f t="shared" si="136"/>
        <v>242.24415474437833</v>
      </c>
      <c r="K339" s="786">
        <f t="shared" si="137"/>
        <v>1489.8942011981701</v>
      </c>
      <c r="L339" s="709">
        <f t="shared" si="138"/>
        <v>5.4399817807471E-4</v>
      </c>
      <c r="M339" s="190"/>
      <c r="N339" s="190"/>
      <c r="O339" s="190"/>
    </row>
    <row r="340" spans="1:15" s="191" customFormat="1" ht="42">
      <c r="A340" s="710" t="s">
        <v>1387</v>
      </c>
      <c r="B340" s="205" t="s">
        <v>1396</v>
      </c>
      <c r="C340" s="194" t="s">
        <v>2162</v>
      </c>
      <c r="D340" s="221" t="s">
        <v>737</v>
      </c>
      <c r="E340" s="195">
        <v>1</v>
      </c>
      <c r="F340" s="802">
        <f>CPUE!H479</f>
        <v>2749.76</v>
      </c>
      <c r="G340" s="802">
        <f>CPUE!I479</f>
        <v>0</v>
      </c>
      <c r="H340" s="786">
        <f t="shared" si="134"/>
        <v>2749.76</v>
      </c>
      <c r="I340" s="786">
        <f t="shared" si="135"/>
        <v>3300.0559751219498</v>
      </c>
      <c r="J340" s="189">
        <f t="shared" si="136"/>
        <v>0</v>
      </c>
      <c r="K340" s="786">
        <f t="shared" si="137"/>
        <v>3300.0559751219498</v>
      </c>
      <c r="L340" s="709">
        <f t="shared" si="138"/>
        <v>1.2049341735588912E-3</v>
      </c>
      <c r="M340" s="190"/>
      <c r="N340" s="190"/>
      <c r="O340" s="190"/>
    </row>
    <row r="341" spans="1:15" s="191" customFormat="1" ht="42">
      <c r="A341" s="710" t="s">
        <v>1388</v>
      </c>
      <c r="B341" s="205" t="s">
        <v>1397</v>
      </c>
      <c r="C341" s="194" t="s">
        <v>2163</v>
      </c>
      <c r="D341" s="221" t="s">
        <v>737</v>
      </c>
      <c r="E341" s="195">
        <v>4</v>
      </c>
      <c r="F341" s="204">
        <f>CPUE!H483</f>
        <v>923.8</v>
      </c>
      <c r="G341" s="802">
        <f>CPUE!I483</f>
        <v>0</v>
      </c>
      <c r="H341" s="786">
        <f t="shared" si="134"/>
        <v>3695.2</v>
      </c>
      <c r="I341" s="786">
        <f t="shared" si="135"/>
        <v>4434.7022428396031</v>
      </c>
      <c r="J341" s="189">
        <f t="shared" si="136"/>
        <v>0</v>
      </c>
      <c r="K341" s="786">
        <f t="shared" si="137"/>
        <v>4434.7022428396031</v>
      </c>
      <c r="L341" s="709">
        <f t="shared" si="138"/>
        <v>1.6192223169057714E-3</v>
      </c>
      <c r="M341" s="190"/>
      <c r="N341" s="190"/>
      <c r="O341" s="190"/>
    </row>
    <row r="342" spans="1:15" s="191" customFormat="1" ht="63">
      <c r="A342" s="742" t="s">
        <v>1389</v>
      </c>
      <c r="B342" s="205" t="s">
        <v>1398</v>
      </c>
      <c r="C342" s="199" t="s">
        <v>2164</v>
      </c>
      <c r="D342" s="221" t="s">
        <v>737</v>
      </c>
      <c r="E342" s="195">
        <v>1</v>
      </c>
      <c r="F342" s="204">
        <f>CPUE!H487</f>
        <v>6594.16</v>
      </c>
      <c r="G342" s="802">
        <f>CPUE!I487</f>
        <v>0</v>
      </c>
      <c r="H342" s="786">
        <f t="shared" si="134"/>
        <v>6594.16</v>
      </c>
      <c r="I342" s="786">
        <f t="shared" si="135"/>
        <v>7913.8168818042859</v>
      </c>
      <c r="J342" s="189">
        <f t="shared" si="136"/>
        <v>0</v>
      </c>
      <c r="K342" s="786">
        <f t="shared" si="137"/>
        <v>7913.8168818042859</v>
      </c>
      <c r="L342" s="709">
        <f t="shared" si="138"/>
        <v>2.8895353521453133E-3</v>
      </c>
      <c r="M342" s="190"/>
      <c r="N342" s="190"/>
      <c r="O342" s="190"/>
    </row>
    <row r="343" spans="1:15" s="191" customFormat="1" ht="42">
      <c r="A343" s="710" t="s">
        <v>1390</v>
      </c>
      <c r="B343" s="205" t="s">
        <v>1399</v>
      </c>
      <c r="C343" s="194" t="s">
        <v>1551</v>
      </c>
      <c r="D343" s="221" t="s">
        <v>737</v>
      </c>
      <c r="E343" s="195">
        <v>4</v>
      </c>
      <c r="F343" s="204">
        <f>CPUE!H493</f>
        <v>999.99</v>
      </c>
      <c r="G343" s="204">
        <f>CPUE!I493</f>
        <v>139.28</v>
      </c>
      <c r="H343" s="196">
        <f t="shared" ref="H343" si="139">E343*(F343+G343)</f>
        <v>4557.08</v>
      </c>
      <c r="I343" s="196">
        <f t="shared" si="135"/>
        <v>4800.4523661151497</v>
      </c>
      <c r="J343" s="189">
        <f t="shared" si="136"/>
        <v>745.36662998270242</v>
      </c>
      <c r="K343" s="196">
        <f t="shared" ref="K343" si="140">I343+J343</f>
        <v>5545.8189960978525</v>
      </c>
      <c r="L343" s="709">
        <f t="shared" si="138"/>
        <v>2.0249192374754876E-3</v>
      </c>
      <c r="M343" s="190"/>
      <c r="N343" s="190"/>
      <c r="O343" s="190"/>
    </row>
    <row r="344" spans="1:15" s="191" customFormat="1">
      <c r="A344" s="710" t="s">
        <v>1655</v>
      </c>
      <c r="B344" s="205" t="s">
        <v>1400</v>
      </c>
      <c r="C344" s="194" t="s">
        <v>1658</v>
      </c>
      <c r="D344" s="221" t="s">
        <v>737</v>
      </c>
      <c r="E344" s="195">
        <v>4</v>
      </c>
      <c r="F344" s="204">
        <f>CPUE!H942</f>
        <v>150.09</v>
      </c>
      <c r="G344" s="204">
        <f>CPUE!I942</f>
        <v>43.1768</v>
      </c>
      <c r="H344" s="196">
        <f t="shared" ref="H344" si="141">E344*(F344+G344)</f>
        <v>773.06719999999996</v>
      </c>
      <c r="I344" s="196">
        <f t="shared" si="135"/>
        <v>720.50710070122977</v>
      </c>
      <c r="J344" s="189">
        <f t="shared" si="136"/>
        <v>231.06365529463775</v>
      </c>
      <c r="K344" s="196">
        <f t="shared" ref="K344" si="142">I344+J344</f>
        <v>951.57075599586756</v>
      </c>
      <c r="L344" s="709">
        <f t="shared" si="138"/>
        <v>3.4744262858035899E-4</v>
      </c>
      <c r="M344" s="190"/>
      <c r="N344" s="190"/>
      <c r="O344" s="190"/>
    </row>
    <row r="345" spans="1:15" s="191" customFormat="1" ht="63.75" thickBot="1">
      <c r="A345" s="724" t="s">
        <v>1401</v>
      </c>
      <c r="B345" s="779" t="s">
        <v>1654</v>
      </c>
      <c r="C345" s="711" t="s">
        <v>1552</v>
      </c>
      <c r="D345" s="712" t="s">
        <v>737</v>
      </c>
      <c r="E345" s="763">
        <v>4</v>
      </c>
      <c r="F345" s="768">
        <f>CPUE!H499</f>
        <v>36.1</v>
      </c>
      <c r="G345" s="768">
        <f>CPUE!I499</f>
        <v>137.88499999999999</v>
      </c>
      <c r="H345" s="714">
        <f t="shared" si="134"/>
        <v>695.93999999999994</v>
      </c>
      <c r="I345" s="714">
        <f t="shared" si="135"/>
        <v>173.29806339739088</v>
      </c>
      <c r="J345" s="715">
        <f t="shared" si="136"/>
        <v>737.90119022950125</v>
      </c>
      <c r="K345" s="714">
        <f t="shared" si="137"/>
        <v>911.19925362689219</v>
      </c>
      <c r="L345" s="716">
        <f t="shared" si="138"/>
        <v>3.3270196866155426E-4</v>
      </c>
      <c r="M345" s="190"/>
      <c r="N345" s="190"/>
      <c r="O345" s="190"/>
    </row>
    <row r="346" spans="1:15" s="218" customFormat="1" ht="21.75" thickBot="1">
      <c r="A346" s="924">
        <v>7</v>
      </c>
      <c r="B346" s="925"/>
      <c r="C346" s="926" t="s">
        <v>14</v>
      </c>
      <c r="D346" s="927"/>
      <c r="E346" s="927"/>
      <c r="F346" s="927"/>
      <c r="G346" s="925"/>
      <c r="H346" s="833">
        <f>SUM(H347+H351+H357+H362+H372+H383+H388+H413+H416+H426+H428)</f>
        <v>447914.85765705007</v>
      </c>
      <c r="I346" s="833">
        <f>SUM(I347+I351+I357+I362+I372+I383+I388+I413+I416+I426+I428)</f>
        <v>445709.31970712298</v>
      </c>
      <c r="J346" s="834">
        <f>SUM(J347+J351+J357+J362+J372+J383+J388+J413+J416+J426+J428)</f>
        <v>94158.625772542568</v>
      </c>
      <c r="K346" s="833">
        <f>SUM(K347+K351+K357+K362+K372+K383+K388+K413+K416+K426+K428)</f>
        <v>539867.94547966553</v>
      </c>
      <c r="L346" s="830">
        <f t="shared" si="138"/>
        <v>0.19711948573643168</v>
      </c>
      <c r="M346" s="190"/>
      <c r="N346" s="190"/>
      <c r="O346" s="190"/>
    </row>
    <row r="347" spans="1:15" s="218" customFormat="1" ht="21.75" thickBot="1">
      <c r="A347" s="922" t="s">
        <v>195</v>
      </c>
      <c r="B347" s="923"/>
      <c r="C347" s="944" t="s">
        <v>166</v>
      </c>
      <c r="D347" s="945"/>
      <c r="E347" s="945"/>
      <c r="F347" s="945"/>
      <c r="G347" s="946"/>
      <c r="H347" s="831">
        <f>SUM(H348:H350)</f>
        <v>18679.349999999999</v>
      </c>
      <c r="I347" s="831">
        <f>SUM(I348:I350)</f>
        <v>21482.239160756901</v>
      </c>
      <c r="J347" s="832">
        <f>SUM(J348:J350)</f>
        <v>1042.68646445473</v>
      </c>
      <c r="K347" s="831">
        <f>SUM(K348:K350)</f>
        <v>22524.925625211632</v>
      </c>
      <c r="L347" s="830">
        <f t="shared" si="138"/>
        <v>8.2244219029305714E-3</v>
      </c>
      <c r="M347" s="190"/>
      <c r="N347" s="190"/>
      <c r="O347" s="190"/>
    </row>
    <row r="348" spans="1:15" s="193" customFormat="1" ht="105">
      <c r="A348" s="803" t="s">
        <v>1402</v>
      </c>
      <c r="B348" s="745" t="s">
        <v>275</v>
      </c>
      <c r="C348" s="735" t="s">
        <v>1618</v>
      </c>
      <c r="D348" s="741" t="s">
        <v>737</v>
      </c>
      <c r="E348" s="720">
        <v>1</v>
      </c>
      <c r="F348" s="804">
        <f>CPUE!H506</f>
        <v>7900</v>
      </c>
      <c r="G348" s="805">
        <f>CPUE!I506</f>
        <v>299.75</v>
      </c>
      <c r="H348" s="784">
        <f>E348*(F348+G348)</f>
        <v>8199.75</v>
      </c>
      <c r="I348" s="784">
        <f>E348*F348*(1+$G$436)</f>
        <v>9480.9882329597494</v>
      </c>
      <c r="J348" s="722">
        <f>E348*G348*(1+$G$436)*(1+$H$7)</f>
        <v>401.03325555951153</v>
      </c>
      <c r="K348" s="784">
        <f>I348+J348</f>
        <v>9882.0214885192618</v>
      </c>
      <c r="L348" s="723">
        <f t="shared" si="138"/>
        <v>3.6081767961284789E-3</v>
      </c>
      <c r="M348" s="190"/>
      <c r="N348" s="190"/>
      <c r="O348" s="190"/>
    </row>
    <row r="349" spans="1:15" s="193" customFormat="1" ht="105">
      <c r="A349" s="806" t="s">
        <v>1403</v>
      </c>
      <c r="B349" s="201" t="s">
        <v>276</v>
      </c>
      <c r="C349" s="199" t="s">
        <v>1617</v>
      </c>
      <c r="D349" s="221" t="s">
        <v>737</v>
      </c>
      <c r="E349" s="195">
        <v>1</v>
      </c>
      <c r="F349" s="807">
        <f>CPUE!H513</f>
        <v>6500</v>
      </c>
      <c r="G349" s="802">
        <f>CPUE!I513</f>
        <v>239.8</v>
      </c>
      <c r="H349" s="786">
        <f>E349*(F349+G349)</f>
        <v>6739.8</v>
      </c>
      <c r="I349" s="786">
        <f>E349*F349*(1+$G$436)</f>
        <v>7800.8131030681479</v>
      </c>
      <c r="J349" s="189">
        <f>E349*G349*(1+$G$436)*(1+$H$7)</f>
        <v>320.82660444760921</v>
      </c>
      <c r="K349" s="786">
        <f>I349+J349</f>
        <v>8121.6397075157574</v>
      </c>
      <c r="L349" s="709">
        <f t="shared" si="138"/>
        <v>2.9654167391984744E-3</v>
      </c>
      <c r="M349" s="190"/>
      <c r="N349" s="190"/>
      <c r="O349" s="190"/>
    </row>
    <row r="350" spans="1:15" s="193" customFormat="1" ht="105.75" thickBot="1">
      <c r="A350" s="738" t="s">
        <v>1404</v>
      </c>
      <c r="B350" s="739" t="s">
        <v>277</v>
      </c>
      <c r="C350" s="739" t="s">
        <v>1616</v>
      </c>
      <c r="D350" s="712" t="s">
        <v>737</v>
      </c>
      <c r="E350" s="726">
        <v>1</v>
      </c>
      <c r="F350" s="808">
        <f>CPUE!H520</f>
        <v>3500</v>
      </c>
      <c r="G350" s="809">
        <f>CPUE!I520</f>
        <v>239.8</v>
      </c>
      <c r="H350" s="795">
        <f>E350*(F350+G350)</f>
        <v>3739.8</v>
      </c>
      <c r="I350" s="795">
        <f>E350*F350*(1+$G$436)</f>
        <v>4200.4378247290033</v>
      </c>
      <c r="J350" s="715">
        <f>E350*G350*(1+$G$436)*(1+$H$7)</f>
        <v>320.82660444760921</v>
      </c>
      <c r="K350" s="795">
        <f>I350+J350</f>
        <v>4521.2644291766128</v>
      </c>
      <c r="L350" s="716">
        <f t="shared" si="138"/>
        <v>1.6508283676036179E-3</v>
      </c>
      <c r="M350" s="190"/>
      <c r="N350" s="190"/>
      <c r="O350" s="190"/>
    </row>
    <row r="351" spans="1:15" s="218" customFormat="1" ht="21.75" thickBot="1">
      <c r="A351" s="922" t="s">
        <v>196</v>
      </c>
      <c r="B351" s="923"/>
      <c r="C351" s="944" t="s">
        <v>167</v>
      </c>
      <c r="D351" s="945"/>
      <c r="E351" s="945"/>
      <c r="F351" s="945"/>
      <c r="G351" s="946"/>
      <c r="H351" s="831">
        <f>SUM(H352:H356)</f>
        <v>57232.478300000002</v>
      </c>
      <c r="I351" s="831">
        <f>SUM(I352:I356)</f>
        <v>47069.5071614669</v>
      </c>
      <c r="J351" s="832">
        <f>SUM(J352:J356)</f>
        <v>24098.088326571047</v>
      </c>
      <c r="K351" s="831">
        <f>SUM(K352:K356)</f>
        <v>71167.595488037943</v>
      </c>
      <c r="L351" s="830">
        <f t="shared" si="138"/>
        <v>2.5985094949907202E-2</v>
      </c>
      <c r="M351" s="190"/>
      <c r="N351" s="190"/>
      <c r="O351" s="190"/>
    </row>
    <row r="352" spans="1:15" s="191" customFormat="1" ht="42">
      <c r="A352" s="717" t="s">
        <v>1407</v>
      </c>
      <c r="B352" s="777" t="s">
        <v>278</v>
      </c>
      <c r="C352" s="810" t="s">
        <v>146</v>
      </c>
      <c r="D352" s="719" t="s">
        <v>13</v>
      </c>
      <c r="E352" s="720">
        <v>150</v>
      </c>
      <c r="F352" s="766">
        <f>CPUE!H534</f>
        <v>12.9846</v>
      </c>
      <c r="G352" s="766">
        <f>CPUE!I534</f>
        <v>2.9975000000000005</v>
      </c>
      <c r="H352" s="721">
        <f>E352*(F352+G352)</f>
        <v>2397.3150000000001</v>
      </c>
      <c r="I352" s="721">
        <f>E352*F352*(1+$G$436)</f>
        <v>2337.4716419561232</v>
      </c>
      <c r="J352" s="722">
        <f>E352*G352*(1+$G$436)*(1+$H$7)</f>
        <v>601.54988333926735</v>
      </c>
      <c r="K352" s="721">
        <f>I352+J352</f>
        <v>2939.0215252953903</v>
      </c>
      <c r="L352" s="723">
        <f t="shared" si="138"/>
        <v>1.0731113348835628E-3</v>
      </c>
      <c r="M352" s="190"/>
      <c r="N352" s="190"/>
      <c r="O352" s="190"/>
    </row>
    <row r="353" spans="1:15" s="191" customFormat="1" ht="42">
      <c r="A353" s="710" t="s">
        <v>1408</v>
      </c>
      <c r="B353" s="205" t="s">
        <v>279</v>
      </c>
      <c r="C353" s="220" t="s">
        <v>170</v>
      </c>
      <c r="D353" s="222" t="s">
        <v>13</v>
      </c>
      <c r="E353" s="195">
        <v>4830</v>
      </c>
      <c r="F353" s="204">
        <f>CPUE!H541</f>
        <v>3.4578000000000002</v>
      </c>
      <c r="G353" s="204">
        <f>CPUE!I541</f>
        <v>1.7985</v>
      </c>
      <c r="H353" s="196">
        <f>E353*(F353+G353)</f>
        <v>25387.929000000004</v>
      </c>
      <c r="I353" s="196">
        <f>E353*F353*(1+$G$436)</f>
        <v>20043.49799628017</v>
      </c>
      <c r="J353" s="189">
        <f>E353*G353*(1+$G$436)*(1+$H$7)</f>
        <v>11621.943746114643</v>
      </c>
      <c r="K353" s="196">
        <f>I353+J353</f>
        <v>31665.441742394811</v>
      </c>
      <c r="L353" s="709">
        <f t="shared" si="138"/>
        <v>1.1561856272707538E-2</v>
      </c>
      <c r="M353" s="190"/>
      <c r="N353" s="190"/>
      <c r="O353" s="190"/>
    </row>
    <row r="354" spans="1:15" s="191" customFormat="1" ht="42">
      <c r="A354" s="710" t="s">
        <v>1409</v>
      </c>
      <c r="B354" s="205" t="s">
        <v>280</v>
      </c>
      <c r="C354" s="811" t="s">
        <v>171</v>
      </c>
      <c r="D354" s="222" t="s">
        <v>13</v>
      </c>
      <c r="E354" s="195">
        <v>3240</v>
      </c>
      <c r="F354" s="204">
        <f>CPUE!H548</f>
        <v>5.4977999999999998</v>
      </c>
      <c r="G354" s="204">
        <f>CPUE!I548</f>
        <v>1.7985</v>
      </c>
      <c r="H354" s="196">
        <f>E354*(F354+G354)</f>
        <v>23640.011999999999</v>
      </c>
      <c r="I354" s="196">
        <f>E354*F354*(1+$G$436)</f>
        <v>21377.674661673191</v>
      </c>
      <c r="J354" s="189">
        <f>E354*G354*(1+$G$436)*(1+$H$7)</f>
        <v>7796.0864880769041</v>
      </c>
      <c r="K354" s="196">
        <f>I354+J354</f>
        <v>29173.761149750095</v>
      </c>
      <c r="L354" s="709">
        <f t="shared" si="138"/>
        <v>1.0652080463356261E-2</v>
      </c>
      <c r="M354" s="190"/>
      <c r="N354" s="190"/>
      <c r="O354" s="190"/>
    </row>
    <row r="355" spans="1:15" s="191" customFormat="1" ht="42">
      <c r="A355" s="710" t="s">
        <v>1648</v>
      </c>
      <c r="B355" s="205" t="s">
        <v>281</v>
      </c>
      <c r="C355" s="811" t="s">
        <v>1622</v>
      </c>
      <c r="D355" s="222" t="s">
        <v>13</v>
      </c>
      <c r="E355" s="195">
        <v>363</v>
      </c>
      <c r="F355" s="204">
        <f>CPUE!H935</f>
        <v>5.8956</v>
      </c>
      <c r="G355" s="204">
        <f>CPUE!I935</f>
        <v>7.7935000000000008</v>
      </c>
      <c r="H355" s="196">
        <f>E355*(F355+G355)</f>
        <v>4969.1432999999997</v>
      </c>
      <c r="I355" s="196">
        <f>E355*F355*(1+$G$436)</f>
        <v>2568.3910714081285</v>
      </c>
      <c r="J355" s="189">
        <f>E355*G355*(1+$G$436)*(1+$H$7)</f>
        <v>3784.95186597067</v>
      </c>
      <c r="K355" s="196">
        <f>I355+J355</f>
        <v>6353.3429373787985</v>
      </c>
      <c r="L355" s="709">
        <f t="shared" si="138"/>
        <v>2.3197667188975014E-3</v>
      </c>
      <c r="M355" s="190"/>
      <c r="N355" s="190"/>
      <c r="O355" s="190"/>
    </row>
    <row r="356" spans="1:15" s="191" customFormat="1" ht="63.75" thickBot="1">
      <c r="A356" s="724" t="s">
        <v>1410</v>
      </c>
      <c r="B356" s="779" t="s">
        <v>1621</v>
      </c>
      <c r="C356" s="812" t="s">
        <v>172</v>
      </c>
      <c r="D356" s="725" t="s">
        <v>13</v>
      </c>
      <c r="E356" s="726">
        <v>122</v>
      </c>
      <c r="F356" s="768">
        <f>CPUE!H555</f>
        <v>5.0710000000000006</v>
      </c>
      <c r="G356" s="768">
        <f>CPUE!I555</f>
        <v>1.7985</v>
      </c>
      <c r="H356" s="714">
        <f>E356*(F356+G356)</f>
        <v>838.07900000000006</v>
      </c>
      <c r="I356" s="714">
        <f>E356*F356*(1+$G$436)</f>
        <v>742.47179014928417</v>
      </c>
      <c r="J356" s="715">
        <f>E356*G356*(1+$G$436)*(1+$H$7)</f>
        <v>293.55634306956244</v>
      </c>
      <c r="K356" s="714">
        <f>I356+J356</f>
        <v>1036.0281332188465</v>
      </c>
      <c r="L356" s="716">
        <f t="shared" si="138"/>
        <v>3.7828016006233967E-4</v>
      </c>
      <c r="M356" s="190"/>
      <c r="N356" s="190"/>
      <c r="O356" s="190"/>
    </row>
    <row r="357" spans="1:15" s="191" customFormat="1" ht="21.75" thickBot="1">
      <c r="A357" s="922" t="s">
        <v>197</v>
      </c>
      <c r="B357" s="923"/>
      <c r="C357" s="944" t="s">
        <v>169</v>
      </c>
      <c r="D357" s="945"/>
      <c r="E357" s="945"/>
      <c r="F357" s="945"/>
      <c r="G357" s="946"/>
      <c r="H357" s="831">
        <f>SUM(H358:H361)</f>
        <v>72992.776320000004</v>
      </c>
      <c r="I357" s="831">
        <f>SUM(I358:I361)</f>
        <v>78409.497672469588</v>
      </c>
      <c r="J357" s="832">
        <f>SUM(J358:J361)</f>
        <v>6023.4811277490026</v>
      </c>
      <c r="K357" s="831">
        <f>SUM(K358:K361)</f>
        <v>84432.978800218581</v>
      </c>
      <c r="L357" s="830">
        <f t="shared" si="138"/>
        <v>3.0828622998734803E-2</v>
      </c>
      <c r="M357" s="190"/>
      <c r="N357" s="190"/>
      <c r="O357" s="190"/>
    </row>
    <row r="358" spans="1:15" s="193" customFormat="1" ht="126">
      <c r="A358" s="813" t="s">
        <v>1411</v>
      </c>
      <c r="B358" s="718" t="s">
        <v>282</v>
      </c>
      <c r="C358" s="810" t="s">
        <v>181</v>
      </c>
      <c r="D358" s="741" t="s">
        <v>737</v>
      </c>
      <c r="E358" s="720">
        <f>224+3</f>
        <v>227</v>
      </c>
      <c r="F358" s="805">
        <f>CPUE!H564</f>
        <v>240.49</v>
      </c>
      <c r="G358" s="805">
        <f>CPUE!I564</f>
        <v>5.995000000000001</v>
      </c>
      <c r="H358" s="784">
        <f>E358*(F358+G358)</f>
        <v>55952.095000000001</v>
      </c>
      <c r="I358" s="784">
        <f>E358*F358*(1+$K$5)</f>
        <v>61728.562966643709</v>
      </c>
      <c r="J358" s="722">
        <f>E358*G358*(1+$G$436)*(1+$H$7)</f>
        <v>1820.6909802401826</v>
      </c>
      <c r="K358" s="784">
        <f>I358+J358</f>
        <v>63549.253946883895</v>
      </c>
      <c r="L358" s="723">
        <f t="shared" si="138"/>
        <v>2.3203445142151866E-2</v>
      </c>
      <c r="M358" s="190"/>
      <c r="N358" s="190"/>
      <c r="O358" s="190"/>
    </row>
    <row r="359" spans="1:15" s="193" customFormat="1" ht="84">
      <c r="A359" s="772" t="s">
        <v>1412</v>
      </c>
      <c r="B359" s="219" t="s">
        <v>283</v>
      </c>
      <c r="C359" s="220" t="s">
        <v>2497</v>
      </c>
      <c r="D359" s="221" t="s">
        <v>737</v>
      </c>
      <c r="E359" s="195">
        <v>20</v>
      </c>
      <c r="F359" s="802">
        <f>CPUE!H574</f>
        <v>208.82999999999998</v>
      </c>
      <c r="G359" s="802">
        <f>CPUE!I574</f>
        <v>5.995000000000001</v>
      </c>
      <c r="H359" s="786">
        <f>E359*(F359+G359)</f>
        <v>4296.5</v>
      </c>
      <c r="I359" s="786">
        <f>E359*F359*(1+$G$436)</f>
        <v>5012.4424625037573</v>
      </c>
      <c r="J359" s="189">
        <f>E359*G359*(1+$G$436)*(1+$H$7)</f>
        <v>160.41330222380464</v>
      </c>
      <c r="K359" s="786">
        <f>I359+J359</f>
        <v>5172.855764727562</v>
      </c>
      <c r="L359" s="709">
        <f t="shared" si="138"/>
        <v>1.8887408979725016E-3</v>
      </c>
      <c r="M359" s="190"/>
      <c r="N359" s="190"/>
      <c r="O359" s="190"/>
    </row>
    <row r="360" spans="1:15" s="193" customFormat="1">
      <c r="A360" s="710" t="s">
        <v>779</v>
      </c>
      <c r="B360" s="194" t="s">
        <v>284</v>
      </c>
      <c r="C360" s="220" t="s">
        <v>180</v>
      </c>
      <c r="D360" s="221" t="s">
        <v>737</v>
      </c>
      <c r="E360" s="195">
        <v>14</v>
      </c>
      <c r="F360" s="802">
        <f>SUM('CPU SINAPI ND OBRA'!K681:K682)</f>
        <v>52.86</v>
      </c>
      <c r="G360" s="802">
        <f>SUM('CPU SINAPI ND OBRA'!K683:K684)</f>
        <v>20.927379999999999</v>
      </c>
      <c r="H360" s="786">
        <f>E360*(F360+G360)</f>
        <v>1033.02332</v>
      </c>
      <c r="I360" s="786">
        <f>E360*F360*(1+$G$436)</f>
        <v>888.1405736607004</v>
      </c>
      <c r="J360" s="189">
        <f>E360*G360*(1+$G$436)*(1+$H$7)</f>
        <v>391.98016561879615</v>
      </c>
      <c r="K360" s="786">
        <f>I360+J360</f>
        <v>1280.1207392794965</v>
      </c>
      <c r="L360" s="709">
        <f t="shared" si="138"/>
        <v>4.6740456424601616E-4</v>
      </c>
      <c r="M360" s="192"/>
      <c r="N360" s="192"/>
      <c r="O360" s="192"/>
    </row>
    <row r="361" spans="1:15" s="193" customFormat="1" ht="21.75" thickBot="1">
      <c r="A361" s="814" t="s">
        <v>1416</v>
      </c>
      <c r="B361" s="815" t="s">
        <v>1042</v>
      </c>
      <c r="C361" s="812" t="s">
        <v>1043</v>
      </c>
      <c r="D361" s="712" t="s">
        <v>737</v>
      </c>
      <c r="E361" s="816">
        <v>41</v>
      </c>
      <c r="F361" s="809">
        <f>CPUE!H581</f>
        <v>219.09</v>
      </c>
      <c r="G361" s="809">
        <f>CPUE!I581</f>
        <v>66.548000000000002</v>
      </c>
      <c r="H361" s="795">
        <f t="shared" ref="H361" si="143">E361*(F361+G361)</f>
        <v>11711.158000000001</v>
      </c>
      <c r="I361" s="795">
        <f>E361*F361*(1+$G$436)</f>
        <v>10780.351669661421</v>
      </c>
      <c r="J361" s="715">
        <f>E361*G361*(1+$G$436)*(1+$H$7)</f>
        <v>3650.3966796662194</v>
      </c>
      <c r="K361" s="795">
        <f t="shared" ref="K361" si="144">I361+J361</f>
        <v>14430.74834932764</v>
      </c>
      <c r="L361" s="716">
        <f t="shared" si="138"/>
        <v>5.2690323943644238E-3</v>
      </c>
      <c r="M361" s="190"/>
      <c r="N361" s="190"/>
      <c r="O361" s="190"/>
    </row>
    <row r="362" spans="1:15" s="218" customFormat="1" ht="21.75" thickBot="1">
      <c r="A362" s="922" t="s">
        <v>198</v>
      </c>
      <c r="B362" s="923"/>
      <c r="C362" s="944" t="s">
        <v>168</v>
      </c>
      <c r="D362" s="945"/>
      <c r="E362" s="945"/>
      <c r="F362" s="945"/>
      <c r="G362" s="946"/>
      <c r="H362" s="831">
        <f>SUM(H363:H371)</f>
        <v>17871.621096000003</v>
      </c>
      <c r="I362" s="831">
        <f>SUM(I363:I371)</f>
        <v>21388.269365992248</v>
      </c>
      <c r="J362" s="832">
        <f>SUM(J363:J371)</f>
        <v>66.789056380246578</v>
      </c>
      <c r="K362" s="831">
        <f>SUM(K363:K371)</f>
        <v>21455.058422372495</v>
      </c>
      <c r="L362" s="830">
        <f t="shared" si="138"/>
        <v>7.8337862399027337E-3</v>
      </c>
      <c r="M362" s="190"/>
      <c r="N362" s="190"/>
      <c r="O362" s="190"/>
    </row>
    <row r="363" spans="1:15" s="193" customFormat="1" ht="42">
      <c r="A363" s="717" t="s">
        <v>780</v>
      </c>
      <c r="B363" s="777" t="s">
        <v>285</v>
      </c>
      <c r="C363" s="810" t="s">
        <v>2314</v>
      </c>
      <c r="D363" s="741" t="s">
        <v>737</v>
      </c>
      <c r="E363" s="720">
        <v>23</v>
      </c>
      <c r="F363" s="805">
        <f>SUM('CPU SINAPI ND OBRA'!K688:K689)</f>
        <v>28.93</v>
      </c>
      <c r="G363" s="805">
        <v>0</v>
      </c>
      <c r="H363" s="784">
        <f t="shared" ref="H363:H424" si="145">E363*(F363+G363)</f>
        <v>665.39</v>
      </c>
      <c r="I363" s="784">
        <f t="shared" ref="I363:I371" si="146">E363*F363*(1+$G$436)</f>
        <v>798.55123548469464</v>
      </c>
      <c r="J363" s="722">
        <f t="shared" ref="J363:J371" si="147">E363*G363*(1+$G$436)*(1+$H$7)</f>
        <v>0</v>
      </c>
      <c r="K363" s="784">
        <f t="shared" ref="K363:K425" si="148">I363+J363</f>
        <v>798.55123548469464</v>
      </c>
      <c r="L363" s="723">
        <f t="shared" si="138"/>
        <v>2.9157131885850055E-4</v>
      </c>
      <c r="M363" s="192"/>
      <c r="N363" s="192"/>
      <c r="O363" s="192"/>
    </row>
    <row r="364" spans="1:15" s="193" customFormat="1" ht="42">
      <c r="A364" s="710" t="s">
        <v>781</v>
      </c>
      <c r="B364" s="205" t="s">
        <v>286</v>
      </c>
      <c r="C364" s="220" t="s">
        <v>2315</v>
      </c>
      <c r="D364" s="221" t="s">
        <v>737</v>
      </c>
      <c r="E364" s="195">
        <v>5</v>
      </c>
      <c r="F364" s="802">
        <f>SUM('CPU SINAPI ND OBRA'!K693:K694)</f>
        <v>45.73</v>
      </c>
      <c r="G364" s="802">
        <v>0</v>
      </c>
      <c r="H364" s="786">
        <f t="shared" si="145"/>
        <v>228.64999999999998</v>
      </c>
      <c r="I364" s="786">
        <f t="shared" si="146"/>
        <v>274.40860246408181</v>
      </c>
      <c r="J364" s="189">
        <f t="shared" si="147"/>
        <v>0</v>
      </c>
      <c r="K364" s="786">
        <f t="shared" si="148"/>
        <v>274.40860246408181</v>
      </c>
      <c r="L364" s="709">
        <f t="shared" si="138"/>
        <v>1.001935437217213E-4</v>
      </c>
      <c r="M364" s="192"/>
      <c r="N364" s="192"/>
      <c r="O364" s="192"/>
    </row>
    <row r="365" spans="1:15" s="193" customFormat="1" ht="42">
      <c r="A365" s="710" t="s">
        <v>785</v>
      </c>
      <c r="B365" s="205" t="s">
        <v>287</v>
      </c>
      <c r="C365" s="220" t="s">
        <v>2311</v>
      </c>
      <c r="D365" s="221" t="s">
        <v>737</v>
      </c>
      <c r="E365" s="195">
        <v>14</v>
      </c>
      <c r="F365" s="802">
        <f>SUM('CPU SINAPI ND OBRA'!K698:K699)</f>
        <v>59.82</v>
      </c>
      <c r="G365" s="802">
        <v>0</v>
      </c>
      <c r="H365" s="786">
        <f t="shared" si="145"/>
        <v>837.48</v>
      </c>
      <c r="I365" s="786">
        <f t="shared" si="146"/>
        <v>1005.0807627011559</v>
      </c>
      <c r="J365" s="189">
        <f t="shared" si="147"/>
        <v>0</v>
      </c>
      <c r="K365" s="786">
        <f t="shared" si="148"/>
        <v>1005.0807627011559</v>
      </c>
      <c r="L365" s="709">
        <f t="shared" si="138"/>
        <v>3.6698048981442018E-4</v>
      </c>
      <c r="M365" s="192"/>
      <c r="N365" s="192"/>
      <c r="O365" s="192"/>
    </row>
    <row r="366" spans="1:15" s="193" customFormat="1" ht="42">
      <c r="A366" s="710" t="s">
        <v>782</v>
      </c>
      <c r="B366" s="205" t="s">
        <v>288</v>
      </c>
      <c r="C366" s="220" t="s">
        <v>2310</v>
      </c>
      <c r="D366" s="221" t="s">
        <v>737</v>
      </c>
      <c r="E366" s="195">
        <v>4</v>
      </c>
      <c r="F366" s="802">
        <f>SUM('CPU SINAPI ND OBRA'!K703:K704)</f>
        <v>51.04</v>
      </c>
      <c r="G366" s="802">
        <v>0</v>
      </c>
      <c r="H366" s="786">
        <f t="shared" si="145"/>
        <v>204.16</v>
      </c>
      <c r="I366" s="786">
        <f t="shared" si="146"/>
        <v>245.01753894190665</v>
      </c>
      <c r="J366" s="189">
        <f t="shared" si="147"/>
        <v>0</v>
      </c>
      <c r="K366" s="786">
        <f t="shared" si="148"/>
        <v>245.01753894190665</v>
      </c>
      <c r="L366" s="709">
        <f t="shared" si="138"/>
        <v>8.9462120648268643E-5</v>
      </c>
      <c r="M366" s="192"/>
      <c r="N366" s="192"/>
      <c r="O366" s="192"/>
    </row>
    <row r="367" spans="1:15" s="193" customFormat="1">
      <c r="A367" s="710" t="s">
        <v>783</v>
      </c>
      <c r="B367" s="205" t="s">
        <v>289</v>
      </c>
      <c r="C367" s="220" t="s">
        <v>184</v>
      </c>
      <c r="D367" s="221" t="s">
        <v>737</v>
      </c>
      <c r="E367" s="195">
        <v>2</v>
      </c>
      <c r="F367" s="802">
        <f>SUM('CPU SINAPI ND OBRA'!K708)</f>
        <v>55.15</v>
      </c>
      <c r="G367" s="802">
        <f>SUM('CPU SINAPI ND OBRA'!K709:K710)</f>
        <v>24.960548000000003</v>
      </c>
      <c r="H367" s="786">
        <f t="shared" si="145"/>
        <v>160.22109599999999</v>
      </c>
      <c r="I367" s="786">
        <f t="shared" si="146"/>
        <v>132.37379773360257</v>
      </c>
      <c r="J367" s="189">
        <f t="shared" si="147"/>
        <v>66.789056380246578</v>
      </c>
      <c r="K367" s="786">
        <f t="shared" si="148"/>
        <v>199.16285411384916</v>
      </c>
      <c r="L367" s="709">
        <f t="shared" si="138"/>
        <v>7.2719411681019359E-5</v>
      </c>
      <c r="M367" s="192"/>
      <c r="N367" s="192"/>
      <c r="O367" s="192"/>
    </row>
    <row r="368" spans="1:15" s="193" customFormat="1" ht="42">
      <c r="A368" s="710" t="s">
        <v>784</v>
      </c>
      <c r="B368" s="205" t="s">
        <v>290</v>
      </c>
      <c r="C368" s="220" t="s">
        <v>2308</v>
      </c>
      <c r="D368" s="221" t="s">
        <v>737</v>
      </c>
      <c r="E368" s="195">
        <v>77</v>
      </c>
      <c r="F368" s="204">
        <f>SUM('CPU SINAPI ND OBRA'!K714:K715)</f>
        <v>46.14</v>
      </c>
      <c r="G368" s="204">
        <v>0</v>
      </c>
      <c r="H368" s="786">
        <f t="shared" ref="H368:H369" si="149">E368*(F368+G368)</f>
        <v>3552.78</v>
      </c>
      <c r="I368" s="786">
        <f t="shared" si="146"/>
        <v>4263.7804271259165</v>
      </c>
      <c r="J368" s="189">
        <f t="shared" si="147"/>
        <v>0</v>
      </c>
      <c r="K368" s="786">
        <f t="shared" ref="K368:K369" si="150">I368+J368</f>
        <v>4263.7804271259165</v>
      </c>
      <c r="L368" s="709">
        <f t="shared" si="138"/>
        <v>1.5568144249449251E-3</v>
      </c>
      <c r="M368" s="192"/>
      <c r="N368" s="192"/>
      <c r="O368" s="192"/>
    </row>
    <row r="369" spans="1:15" s="193" customFormat="1" ht="42">
      <c r="A369" s="710" t="s">
        <v>800</v>
      </c>
      <c r="B369" s="205" t="s">
        <v>291</v>
      </c>
      <c r="C369" s="220" t="s">
        <v>2309</v>
      </c>
      <c r="D369" s="221" t="s">
        <v>737</v>
      </c>
      <c r="E369" s="195">
        <v>3</v>
      </c>
      <c r="F369" s="204">
        <f>SUM('CPU SINAPI ND OBRA'!K719:K720)</f>
        <v>48.339999999999996</v>
      </c>
      <c r="G369" s="204">
        <v>0</v>
      </c>
      <c r="H369" s="786">
        <f t="shared" si="149"/>
        <v>145.01999999999998</v>
      </c>
      <c r="I369" s="786">
        <f t="shared" si="146"/>
        <v>174.04214095491426</v>
      </c>
      <c r="J369" s="189">
        <f t="shared" si="147"/>
        <v>0</v>
      </c>
      <c r="K369" s="786">
        <f t="shared" si="150"/>
        <v>174.04214095491426</v>
      </c>
      <c r="L369" s="709">
        <f t="shared" si="138"/>
        <v>6.3547201882895363E-5</v>
      </c>
      <c r="M369" s="192"/>
      <c r="N369" s="192"/>
      <c r="O369" s="192"/>
    </row>
    <row r="370" spans="1:15" s="193" customFormat="1" ht="42">
      <c r="A370" s="710" t="s">
        <v>1650</v>
      </c>
      <c r="B370" s="205" t="s">
        <v>1623</v>
      </c>
      <c r="C370" s="220" t="s">
        <v>147</v>
      </c>
      <c r="D370" s="221" t="s">
        <v>737</v>
      </c>
      <c r="E370" s="195">
        <v>11</v>
      </c>
      <c r="F370" s="802">
        <f>SUM('CPU SINAPI ND OBRA'!K724:K725)</f>
        <v>61.94</v>
      </c>
      <c r="G370" s="802">
        <v>0</v>
      </c>
      <c r="H370" s="786">
        <f t="shared" si="145"/>
        <v>681.33999999999992</v>
      </c>
      <c r="I370" s="786">
        <f t="shared" si="146"/>
        <v>817.69323071453096</v>
      </c>
      <c r="J370" s="189">
        <f t="shared" si="147"/>
        <v>0</v>
      </c>
      <c r="K370" s="786">
        <f t="shared" si="148"/>
        <v>817.69323071453096</v>
      </c>
      <c r="L370" s="709">
        <f t="shared" si="138"/>
        <v>2.9856054703414651E-4</v>
      </c>
      <c r="M370" s="192"/>
      <c r="N370" s="192"/>
      <c r="O370" s="192"/>
    </row>
    <row r="371" spans="1:15" s="193" customFormat="1" ht="42.75" thickBot="1">
      <c r="A371" s="724" t="s">
        <v>784</v>
      </c>
      <c r="B371" s="779" t="s">
        <v>1624</v>
      </c>
      <c r="C371" s="812" t="s">
        <v>148</v>
      </c>
      <c r="D371" s="712" t="s">
        <v>737</v>
      </c>
      <c r="E371" s="726">
        <f>244+3</f>
        <v>247</v>
      </c>
      <c r="F371" s="809">
        <f>SUM('CPU SINAPI ND OBRA'!K714:K715)</f>
        <v>46.14</v>
      </c>
      <c r="G371" s="809">
        <v>0</v>
      </c>
      <c r="H371" s="795">
        <f t="shared" si="145"/>
        <v>11396.58</v>
      </c>
      <c r="I371" s="795">
        <f t="shared" si="146"/>
        <v>13677.321629871445</v>
      </c>
      <c r="J371" s="715">
        <f t="shared" si="147"/>
        <v>0</v>
      </c>
      <c r="K371" s="795">
        <f t="shared" si="148"/>
        <v>13677.321629871445</v>
      </c>
      <c r="L371" s="716">
        <f t="shared" si="138"/>
        <v>4.9939371813168369E-3</v>
      </c>
      <c r="M371" s="192"/>
      <c r="N371" s="192"/>
      <c r="O371" s="192"/>
    </row>
    <row r="372" spans="1:15" s="218" customFormat="1" ht="21.75" thickBot="1">
      <c r="A372" s="922" t="s">
        <v>199</v>
      </c>
      <c r="B372" s="923"/>
      <c r="C372" s="928" t="s">
        <v>174</v>
      </c>
      <c r="D372" s="929"/>
      <c r="E372" s="929"/>
      <c r="F372" s="929"/>
      <c r="G372" s="923"/>
      <c r="H372" s="831">
        <f>SUM(H373:H382)</f>
        <v>21433.100000000002</v>
      </c>
      <c r="I372" s="831">
        <f>SUM(I373:I382)</f>
        <v>22700.606154946865</v>
      </c>
      <c r="J372" s="832">
        <f>SUM(J373:J382)</f>
        <v>3368.6793466998975</v>
      </c>
      <c r="K372" s="831">
        <f>SUM(K373:K382)</f>
        <v>26069.285501646762</v>
      </c>
      <c r="L372" s="830">
        <f t="shared" si="138"/>
        <v>9.5185576299313332E-3</v>
      </c>
      <c r="M372" s="190"/>
      <c r="N372" s="190"/>
      <c r="O372" s="190"/>
    </row>
    <row r="373" spans="1:15" s="191" customFormat="1" ht="42">
      <c r="A373" s="717" t="s">
        <v>1419</v>
      </c>
      <c r="B373" s="777" t="s">
        <v>292</v>
      </c>
      <c r="C373" s="817" t="s">
        <v>173</v>
      </c>
      <c r="D373" s="719" t="s">
        <v>13</v>
      </c>
      <c r="E373" s="720">
        <v>60</v>
      </c>
      <c r="F373" s="766">
        <f>CPUE!H589</f>
        <v>91.786000000000001</v>
      </c>
      <c r="G373" s="766">
        <f>CPUE!I589</f>
        <v>5.995000000000001</v>
      </c>
      <c r="H373" s="721">
        <f t="shared" si="145"/>
        <v>5866.8600000000006</v>
      </c>
      <c r="I373" s="721">
        <f>E373*F373*(1+$G$436)</f>
        <v>6609.2809059527362</v>
      </c>
      <c r="J373" s="722">
        <f t="shared" ref="J373:J382" si="151">E373*G373*(1+$G$436)*(1+$H$7)</f>
        <v>481.23990667141385</v>
      </c>
      <c r="K373" s="721">
        <f t="shared" si="148"/>
        <v>7090.5208126241505</v>
      </c>
      <c r="L373" s="723">
        <f t="shared" si="138"/>
        <v>2.5889290666185377E-3</v>
      </c>
      <c r="M373" s="190"/>
      <c r="N373" s="190"/>
      <c r="O373" s="190"/>
    </row>
    <row r="374" spans="1:15" s="191" customFormat="1" ht="42">
      <c r="A374" s="710" t="s">
        <v>1420</v>
      </c>
      <c r="B374" s="205" t="s">
        <v>293</v>
      </c>
      <c r="C374" s="646" t="s">
        <v>1625</v>
      </c>
      <c r="D374" s="221" t="s">
        <v>737</v>
      </c>
      <c r="E374" s="195">
        <v>23</v>
      </c>
      <c r="F374" s="204">
        <f>CPUE!H597</f>
        <v>47.11</v>
      </c>
      <c r="G374" s="204">
        <f>CPUE!I597</f>
        <v>5.995000000000001</v>
      </c>
      <c r="H374" s="196">
        <f t="shared" si="145"/>
        <v>1221.4150000000002</v>
      </c>
      <c r="I374" s="196">
        <f>E374*F374*(1+$G$436)</f>
        <v>1300.3715417796047</v>
      </c>
      <c r="J374" s="189">
        <f t="shared" si="151"/>
        <v>184.47529755737534</v>
      </c>
      <c r="K374" s="196">
        <f t="shared" si="148"/>
        <v>1484.8468393369801</v>
      </c>
      <c r="L374" s="709">
        <f t="shared" si="138"/>
        <v>5.4215525818525551E-4</v>
      </c>
      <c r="M374" s="190"/>
      <c r="N374" s="190"/>
      <c r="O374" s="190"/>
    </row>
    <row r="375" spans="1:15" s="191" customFormat="1" ht="42">
      <c r="A375" s="710" t="s">
        <v>1421</v>
      </c>
      <c r="B375" s="205" t="s">
        <v>294</v>
      </c>
      <c r="C375" s="646" t="s">
        <v>149</v>
      </c>
      <c r="D375" s="221" t="s">
        <v>737</v>
      </c>
      <c r="E375" s="195">
        <v>23</v>
      </c>
      <c r="F375" s="204">
        <f>CPUE!H605</f>
        <v>28.58</v>
      </c>
      <c r="G375" s="204">
        <f>CPUE!I605</f>
        <v>5.995000000000001</v>
      </c>
      <c r="H375" s="196">
        <f t="shared" si="145"/>
        <v>795.22500000000002</v>
      </c>
      <c r="I375" s="196">
        <f>E375*F375*(1+$G$436)</f>
        <v>788.89022848781781</v>
      </c>
      <c r="J375" s="189">
        <f t="shared" si="151"/>
        <v>184.47529755737534</v>
      </c>
      <c r="K375" s="196">
        <f t="shared" si="148"/>
        <v>973.36552604519318</v>
      </c>
      <c r="L375" s="709">
        <f t="shared" si="138"/>
        <v>3.5540045215525146E-4</v>
      </c>
      <c r="M375" s="190"/>
      <c r="N375" s="190"/>
      <c r="O375" s="190"/>
    </row>
    <row r="376" spans="1:15" s="191" customFormat="1" ht="42">
      <c r="A376" s="710" t="s">
        <v>1422</v>
      </c>
      <c r="B376" s="205" t="s">
        <v>295</v>
      </c>
      <c r="C376" s="646" t="s">
        <v>150</v>
      </c>
      <c r="D376" s="221" t="s">
        <v>737</v>
      </c>
      <c r="E376" s="195">
        <v>23</v>
      </c>
      <c r="F376" s="204">
        <f>CPUE!H613</f>
        <v>3.66</v>
      </c>
      <c r="G376" s="204">
        <f>CPUE!I613</f>
        <v>5.995000000000001</v>
      </c>
      <c r="H376" s="196">
        <f t="shared" si="145"/>
        <v>222.06500000000003</v>
      </c>
      <c r="I376" s="196">
        <f>E376*F376*(1+$G$436)</f>
        <v>101.02653031019643</v>
      </c>
      <c r="J376" s="189">
        <f t="shared" si="151"/>
        <v>184.47529755737534</v>
      </c>
      <c r="K376" s="196">
        <f t="shared" si="148"/>
        <v>285.50182786757176</v>
      </c>
      <c r="L376" s="709">
        <f t="shared" si="138"/>
        <v>1.0424396180081546E-4</v>
      </c>
      <c r="M376" s="190"/>
      <c r="N376" s="190"/>
      <c r="O376" s="190"/>
    </row>
    <row r="377" spans="1:15" s="191" customFormat="1" ht="42">
      <c r="A377" s="710" t="s">
        <v>1423</v>
      </c>
      <c r="B377" s="205" t="s">
        <v>296</v>
      </c>
      <c r="C377" s="646" t="s">
        <v>151</v>
      </c>
      <c r="D377" s="221" t="s">
        <v>737</v>
      </c>
      <c r="E377" s="195">
        <v>46</v>
      </c>
      <c r="F377" s="204">
        <f>CPUE!H621</f>
        <v>17.96</v>
      </c>
      <c r="G377" s="204">
        <f>CPUE!I621</f>
        <v>5.995000000000001</v>
      </c>
      <c r="H377" s="196">
        <f t="shared" si="145"/>
        <v>1101.93</v>
      </c>
      <c r="I377" s="196">
        <f t="shared" ref="I377" si="152">E377*F377*(1+$G$436)</f>
        <v>991.49534665088959</v>
      </c>
      <c r="J377" s="189">
        <f t="shared" si="151"/>
        <v>368.95059511475068</v>
      </c>
      <c r="K377" s="196">
        <f t="shared" si="148"/>
        <v>1360.4459417656403</v>
      </c>
      <c r="L377" s="709">
        <f t="shared" ref="L377" si="153">K377/$K$436</f>
        <v>4.9673333387999653E-4</v>
      </c>
      <c r="M377" s="190"/>
      <c r="N377" s="190"/>
      <c r="O377" s="190"/>
    </row>
    <row r="378" spans="1:15" s="191" customFormat="1">
      <c r="A378" s="710" t="s">
        <v>1423</v>
      </c>
      <c r="B378" s="205" t="s">
        <v>297</v>
      </c>
      <c r="C378" s="646" t="s">
        <v>2441</v>
      </c>
      <c r="D378" s="221" t="s">
        <v>737</v>
      </c>
      <c r="E378" s="195">
        <v>170</v>
      </c>
      <c r="F378" s="204">
        <f>CPUE!H621</f>
        <v>17.96</v>
      </c>
      <c r="G378" s="204">
        <f>CPUE!I621</f>
        <v>5.995000000000001</v>
      </c>
      <c r="H378" s="196">
        <f t="shared" si="145"/>
        <v>4072.3500000000004</v>
      </c>
      <c r="I378" s="196">
        <f>E378*F378*(1+$G$436)</f>
        <v>3664.2219332750265</v>
      </c>
      <c r="J378" s="189">
        <f t="shared" si="151"/>
        <v>1363.5130689023395</v>
      </c>
      <c r="K378" s="196">
        <f t="shared" si="148"/>
        <v>5027.7350021773655</v>
      </c>
      <c r="L378" s="709">
        <f t="shared" ref="L378:L390" si="154">K378/$K$436</f>
        <v>1.8357536252086826E-3</v>
      </c>
      <c r="M378" s="190"/>
      <c r="N378" s="190"/>
      <c r="O378" s="190"/>
    </row>
    <row r="379" spans="1:15" s="191" customFormat="1">
      <c r="A379" s="710" t="s">
        <v>1424</v>
      </c>
      <c r="B379" s="205" t="s">
        <v>298</v>
      </c>
      <c r="C379" s="646" t="s">
        <v>2442</v>
      </c>
      <c r="D379" s="221" t="s">
        <v>737</v>
      </c>
      <c r="E379" s="195">
        <v>3</v>
      </c>
      <c r="F379" s="204">
        <f>CPUE!H629</f>
        <v>17.96</v>
      </c>
      <c r="G379" s="204">
        <f>CPUE!I629</f>
        <v>5.995000000000001</v>
      </c>
      <c r="H379" s="196">
        <f t="shared" si="145"/>
        <v>71.865000000000009</v>
      </c>
      <c r="I379" s="196">
        <f>E379*F379*(1+$G$436)</f>
        <v>64.662739998971048</v>
      </c>
      <c r="J379" s="189">
        <f t="shared" si="151"/>
        <v>24.061995333570696</v>
      </c>
      <c r="K379" s="196">
        <f t="shared" si="148"/>
        <v>88.724735332541741</v>
      </c>
      <c r="L379" s="709">
        <f t="shared" si="154"/>
        <v>3.2395652209564985E-5</v>
      </c>
      <c r="M379" s="190"/>
      <c r="N379" s="190"/>
      <c r="O379" s="190"/>
    </row>
    <row r="380" spans="1:15" s="191" customFormat="1">
      <c r="A380" s="710" t="s">
        <v>1425</v>
      </c>
      <c r="B380" s="205" t="s">
        <v>299</v>
      </c>
      <c r="C380" s="646" t="s">
        <v>2443</v>
      </c>
      <c r="D380" s="221" t="s">
        <v>737</v>
      </c>
      <c r="E380" s="195">
        <v>41</v>
      </c>
      <c r="F380" s="204">
        <f>CPUE!H637</f>
        <v>14.58</v>
      </c>
      <c r="G380" s="204">
        <f>CPUE!I637</f>
        <v>5.995000000000001</v>
      </c>
      <c r="H380" s="196">
        <f>E380*(F380+G380)</f>
        <v>843.57500000000016</v>
      </c>
      <c r="I380" s="196">
        <f>E380*F380*(1+$G$436)</f>
        <v>717.41077796185812</v>
      </c>
      <c r="J380" s="189">
        <f t="shared" si="151"/>
        <v>328.8472695587995</v>
      </c>
      <c r="K380" s="196">
        <f>I380+J380</f>
        <v>1046.2580475206576</v>
      </c>
      <c r="L380" s="709">
        <f t="shared" si="154"/>
        <v>3.8201536135218307E-4</v>
      </c>
      <c r="M380" s="190"/>
      <c r="N380" s="190"/>
      <c r="O380" s="190"/>
    </row>
    <row r="381" spans="1:15" s="191" customFormat="1">
      <c r="A381" s="710" t="s">
        <v>1426</v>
      </c>
      <c r="B381" s="205" t="s">
        <v>300</v>
      </c>
      <c r="C381" s="646" t="s">
        <v>2444</v>
      </c>
      <c r="D381" s="221" t="s">
        <v>737</v>
      </c>
      <c r="E381" s="195">
        <v>8</v>
      </c>
      <c r="F381" s="204">
        <f>CPUE!H645</f>
        <v>16.84</v>
      </c>
      <c r="G381" s="204">
        <f>CPUE!I645</f>
        <v>5.995000000000001</v>
      </c>
      <c r="H381" s="196">
        <f t="shared" si="145"/>
        <v>182.68</v>
      </c>
      <c r="I381" s="196">
        <f>E381*F381*(1+$G$436)</f>
        <v>161.68085249928322</v>
      </c>
      <c r="J381" s="189">
        <f t="shared" si="151"/>
        <v>64.165320889521851</v>
      </c>
      <c r="K381" s="196">
        <f t="shared" si="148"/>
        <v>225.84617338880508</v>
      </c>
      <c r="L381" s="709">
        <f t="shared" si="154"/>
        <v>8.246216862234334E-5</v>
      </c>
      <c r="M381" s="190"/>
      <c r="N381" s="190"/>
      <c r="O381" s="190"/>
    </row>
    <row r="382" spans="1:15" s="191" customFormat="1" ht="63.75" thickBot="1">
      <c r="A382" s="724" t="s">
        <v>1427</v>
      </c>
      <c r="B382" s="779" t="s">
        <v>2445</v>
      </c>
      <c r="C382" s="818" t="s">
        <v>1626</v>
      </c>
      <c r="D382" s="712" t="s">
        <v>737</v>
      </c>
      <c r="E382" s="726">
        <v>23</v>
      </c>
      <c r="F382" s="768">
        <f>CPUE!H653</f>
        <v>300.75</v>
      </c>
      <c r="G382" s="768">
        <f>CPUE!I653</f>
        <v>5.995000000000001</v>
      </c>
      <c r="H382" s="714">
        <f t="shared" si="145"/>
        <v>7055.1350000000002</v>
      </c>
      <c r="I382" s="714">
        <f>E382*F382*(1+$G$436)</f>
        <v>8301.565298030484</v>
      </c>
      <c r="J382" s="715">
        <f t="shared" si="151"/>
        <v>184.47529755737534</v>
      </c>
      <c r="K382" s="714">
        <f t="shared" si="148"/>
        <v>8486.0405955878596</v>
      </c>
      <c r="L382" s="716">
        <f t="shared" si="154"/>
        <v>3.0984687498987044E-3</v>
      </c>
      <c r="M382" s="190"/>
      <c r="N382" s="190"/>
      <c r="O382" s="190"/>
    </row>
    <row r="383" spans="1:15" s="218" customFormat="1" ht="21.75" thickBot="1">
      <c r="A383" s="922" t="s">
        <v>1477</v>
      </c>
      <c r="B383" s="923"/>
      <c r="C383" s="928" t="s">
        <v>185</v>
      </c>
      <c r="D383" s="929"/>
      <c r="E383" s="929"/>
      <c r="F383" s="929"/>
      <c r="G383" s="923"/>
      <c r="H383" s="831">
        <f>SUM(H384:H387)</f>
        <v>17562.966065000001</v>
      </c>
      <c r="I383" s="831">
        <f>SUM(I384:I387)</f>
        <v>9946.1327164193099</v>
      </c>
      <c r="J383" s="832">
        <f>SUM(J384:J387)</f>
        <v>12409.468791387078</v>
      </c>
      <c r="K383" s="831">
        <f>SUM(K384:K387)</f>
        <v>22355.601507806387</v>
      </c>
      <c r="L383" s="830">
        <f t="shared" si="154"/>
        <v>8.1625973711628216E-3</v>
      </c>
      <c r="M383" s="190"/>
      <c r="N383" s="190"/>
      <c r="O383" s="190"/>
    </row>
    <row r="384" spans="1:15" s="193" customFormat="1">
      <c r="A384" s="717" t="s">
        <v>786</v>
      </c>
      <c r="B384" s="777" t="s">
        <v>301</v>
      </c>
      <c r="C384" s="819" t="s">
        <v>186</v>
      </c>
      <c r="D384" s="741" t="s">
        <v>737</v>
      </c>
      <c r="E384" s="720">
        <v>159</v>
      </c>
      <c r="F384" s="805">
        <f>SUM('CPU SINAPI ND OBRA'!K740:K741)</f>
        <v>20.119999999999997</v>
      </c>
      <c r="G384" s="805">
        <f>SUM('CPU SINAPI ND OBRA'!K742:K743)</f>
        <v>23.848109999999998</v>
      </c>
      <c r="H384" s="784">
        <f>E384*(F384+G384)</f>
        <v>6990.9294899999995</v>
      </c>
      <c r="I384" s="784">
        <f>E384*F384*(1+$G$436)</f>
        <v>3839.2961818097306</v>
      </c>
      <c r="J384" s="722">
        <f>E384*G384*(1+$G$436)*(1+$H$7)</f>
        <v>5073.0867241580427</v>
      </c>
      <c r="K384" s="784">
        <f>I384+J384</f>
        <v>8912.3829059677737</v>
      </c>
      <c r="L384" s="723">
        <f t="shared" si="154"/>
        <v>3.2541371456118488E-3</v>
      </c>
      <c r="M384" s="192"/>
      <c r="N384" s="192"/>
      <c r="O384" s="192"/>
    </row>
    <row r="385" spans="1:15" s="193" customFormat="1">
      <c r="A385" s="710" t="s">
        <v>787</v>
      </c>
      <c r="B385" s="205" t="s">
        <v>302</v>
      </c>
      <c r="C385" s="811" t="s">
        <v>187</v>
      </c>
      <c r="D385" s="221" t="s">
        <v>737</v>
      </c>
      <c r="E385" s="195">
        <v>60</v>
      </c>
      <c r="F385" s="802">
        <f>SUM('CPU SINAPI ND OBRA'!K747:K748)</f>
        <v>23.7</v>
      </c>
      <c r="G385" s="802">
        <f>SUM('CPU SINAPI ND OBRA'!K749:K750)</f>
        <v>28.06859</v>
      </c>
      <c r="H385" s="786">
        <f>E385*(F385+G385)</f>
        <v>3106.1154000000001</v>
      </c>
      <c r="I385" s="786">
        <f>E385*F385*(1+$G$436)</f>
        <v>1706.577881932755</v>
      </c>
      <c r="J385" s="189">
        <f>E385*G385*(1+$G$436)*(1+$H$7)</f>
        <v>2253.1652430355598</v>
      </c>
      <c r="K385" s="786">
        <f>I385+J385</f>
        <v>3959.743124968315</v>
      </c>
      <c r="L385" s="709">
        <f t="shared" si="154"/>
        <v>1.4458026911537106E-3</v>
      </c>
      <c r="M385" s="192"/>
      <c r="N385" s="192"/>
      <c r="O385" s="192"/>
    </row>
    <row r="386" spans="1:15" s="193" customFormat="1">
      <c r="A386" s="710" t="s">
        <v>788</v>
      </c>
      <c r="B386" s="205" t="s">
        <v>303</v>
      </c>
      <c r="C386" s="811" t="s">
        <v>188</v>
      </c>
      <c r="D386" s="221" t="s">
        <v>737</v>
      </c>
      <c r="E386" s="195">
        <v>3</v>
      </c>
      <c r="F386" s="802">
        <f>SUM('CPU SINAPI ND OBRA'!K754:K755)</f>
        <v>22.7</v>
      </c>
      <c r="G386" s="802">
        <f>SUM('CPU SINAPI ND OBRA'!K756:K757)</f>
        <v>32.283075000000004</v>
      </c>
      <c r="H386" s="786">
        <f>E386*(F386+G386)</f>
        <v>164.94922500000001</v>
      </c>
      <c r="I386" s="786">
        <f>E386*F386*(1+$G$436)</f>
        <v>81.728518818298596</v>
      </c>
      <c r="J386" s="189">
        <f>E386*G386*(1+$G$436)*(1+$H$7)</f>
        <v>129.5738448712782</v>
      </c>
      <c r="K386" s="786">
        <f>I386+J386</f>
        <v>211.30236368957679</v>
      </c>
      <c r="L386" s="709">
        <f t="shared" si="154"/>
        <v>7.7151854660262789E-5</v>
      </c>
      <c r="M386" s="192"/>
      <c r="N386" s="192"/>
      <c r="O386" s="192"/>
    </row>
    <row r="387" spans="1:15" s="193" customFormat="1" ht="21.75" thickBot="1">
      <c r="A387" s="724" t="s">
        <v>1660</v>
      </c>
      <c r="B387" s="779" t="s">
        <v>304</v>
      </c>
      <c r="C387" s="820" t="s">
        <v>1627</v>
      </c>
      <c r="D387" s="712" t="s">
        <v>737</v>
      </c>
      <c r="E387" s="726">
        <v>173</v>
      </c>
      <c r="F387" s="768">
        <f>SUM('CPU SINAPI ND OBRA'!K761:K762)</f>
        <v>20.799999999999997</v>
      </c>
      <c r="G387" s="768">
        <f>SUM('CPU SINAPI ND OBRA'!K763:K764)</f>
        <v>21.402149999999999</v>
      </c>
      <c r="H387" s="795">
        <f>E387*(F387+G387)</f>
        <v>7300.9719499999992</v>
      </c>
      <c r="I387" s="795">
        <f>E387*F387*(1+$G$436)</f>
        <v>4318.5301338585268</v>
      </c>
      <c r="J387" s="715">
        <f>E387*G387*(1+$G$436)*(1+$H$7)</f>
        <v>4953.6429793221978</v>
      </c>
      <c r="K387" s="795">
        <f>I387+J387</f>
        <v>9272.1731131807246</v>
      </c>
      <c r="L387" s="716">
        <f t="shared" si="154"/>
        <v>3.3855056797370007E-3</v>
      </c>
      <c r="M387" s="192"/>
      <c r="N387" s="192"/>
      <c r="O387" s="192"/>
    </row>
    <row r="388" spans="1:15" s="191" customFormat="1" ht="21.75" thickBot="1">
      <c r="A388" s="922" t="s">
        <v>200</v>
      </c>
      <c r="B388" s="923"/>
      <c r="C388" s="928" t="s">
        <v>175</v>
      </c>
      <c r="D388" s="929"/>
      <c r="E388" s="929"/>
      <c r="F388" s="929"/>
      <c r="G388" s="923"/>
      <c r="H388" s="831">
        <f>SUM(H389:H412)</f>
        <v>65698.957506050006</v>
      </c>
      <c r="I388" s="831">
        <f>SUM(I389:I412)</f>
        <v>63988.226075942097</v>
      </c>
      <c r="J388" s="832">
        <f>SUM(J389:J412)</f>
        <v>16564.437938051346</v>
      </c>
      <c r="K388" s="831">
        <f>SUM(K389:K412)</f>
        <v>80552.664013993461</v>
      </c>
      <c r="L388" s="830">
        <f t="shared" si="154"/>
        <v>2.9411821609505118E-2</v>
      </c>
      <c r="M388" s="190"/>
      <c r="N388" s="190"/>
      <c r="O388" s="190"/>
    </row>
    <row r="389" spans="1:15" s="193" customFormat="1">
      <c r="A389" s="764" t="s">
        <v>2179</v>
      </c>
      <c r="B389" s="777" t="s">
        <v>305</v>
      </c>
      <c r="C389" s="819" t="s">
        <v>1223</v>
      </c>
      <c r="D389" s="719" t="s">
        <v>13</v>
      </c>
      <c r="E389" s="720">
        <v>856.35</v>
      </c>
      <c r="F389" s="766">
        <f>SUM('CPU SINAPI ND OBRA'!K1549:K1550)</f>
        <v>22.721343000000001</v>
      </c>
      <c r="G389" s="766">
        <f>SUM('CPU SINAPI ND OBRA'!K1547:K1548)</f>
        <v>6.2587800000000007</v>
      </c>
      <c r="H389" s="721">
        <f t="shared" si="145"/>
        <v>24817.128331050004</v>
      </c>
      <c r="I389" s="721">
        <f>E389*F389*(1+$G$436)</f>
        <v>23351.340476673835</v>
      </c>
      <c r="J389" s="722">
        <f t="shared" ref="J389:J412" si="155">E389*G389*(1+$G$436)*(1+$H$7)</f>
        <v>7170.7104169583354</v>
      </c>
      <c r="K389" s="721">
        <f t="shared" si="148"/>
        <v>30522.050893632171</v>
      </c>
      <c r="L389" s="723">
        <f t="shared" si="154"/>
        <v>1.1144375260932367E-2</v>
      </c>
      <c r="M389" s="190"/>
      <c r="N389" s="190"/>
      <c r="O389" s="190"/>
    </row>
    <row r="390" spans="1:15" s="193" customFormat="1">
      <c r="A390" s="710" t="s">
        <v>1662</v>
      </c>
      <c r="B390" s="205" t="s">
        <v>306</v>
      </c>
      <c r="C390" s="811" t="s">
        <v>1628</v>
      </c>
      <c r="D390" s="221" t="s">
        <v>737</v>
      </c>
      <c r="E390" s="195">
        <v>1</v>
      </c>
      <c r="F390" s="204">
        <f>CPUE!H949</f>
        <v>64.02</v>
      </c>
      <c r="G390" s="204">
        <f>CPUE!I949</f>
        <v>17.984999999999999</v>
      </c>
      <c r="H390" s="196">
        <f t="shared" ref="H390:H392" si="156">E390*(F390+G390)</f>
        <v>82.004999999999995</v>
      </c>
      <c r="I390" s="196">
        <f>E390*F390*(1+$G$436)</f>
        <v>76.832008439757359</v>
      </c>
      <c r="J390" s="189">
        <f t="shared" si="155"/>
        <v>24.061995333570692</v>
      </c>
      <c r="K390" s="786">
        <f t="shared" ref="K390:K392" si="157">I390+J390</f>
        <v>100.89400377332805</v>
      </c>
      <c r="L390" s="709">
        <f t="shared" si="154"/>
        <v>3.68389609055556E-5</v>
      </c>
      <c r="M390" s="190"/>
      <c r="N390" s="190"/>
      <c r="O390" s="190"/>
    </row>
    <row r="391" spans="1:15" s="193" customFormat="1">
      <c r="A391" s="710" t="s">
        <v>1663</v>
      </c>
      <c r="B391" s="205" t="s">
        <v>307</v>
      </c>
      <c r="C391" s="811" t="s">
        <v>1629</v>
      </c>
      <c r="D391" s="221" t="s">
        <v>737</v>
      </c>
      <c r="E391" s="195">
        <v>1</v>
      </c>
      <c r="F391" s="204">
        <f>CPUE!H956</f>
        <v>89.48</v>
      </c>
      <c r="G391" s="204">
        <f>CPUE!I956</f>
        <v>17.984999999999999</v>
      </c>
      <c r="H391" s="196">
        <f t="shared" si="156"/>
        <v>107.465</v>
      </c>
      <c r="I391" s="196">
        <f>E391*F391*(1+$G$436)</f>
        <v>107.38719330192892</v>
      </c>
      <c r="J391" s="189">
        <f t="shared" si="155"/>
        <v>24.061995333570692</v>
      </c>
      <c r="K391" s="786">
        <f t="shared" si="157"/>
        <v>131.44918863549961</v>
      </c>
      <c r="L391" s="709">
        <f t="shared" ref="L391:L436" si="158">K391/$K$436</f>
        <v>4.7995434219157291E-5</v>
      </c>
      <c r="M391" s="190"/>
      <c r="N391" s="190"/>
      <c r="O391" s="190"/>
    </row>
    <row r="392" spans="1:15" s="193" customFormat="1">
      <c r="A392" s="710" t="s">
        <v>1665</v>
      </c>
      <c r="B392" s="205" t="s">
        <v>1644</v>
      </c>
      <c r="C392" s="811" t="s">
        <v>1630</v>
      </c>
      <c r="D392" s="221" t="s">
        <v>737</v>
      </c>
      <c r="E392" s="195">
        <v>1</v>
      </c>
      <c r="F392" s="204">
        <f>CPUE!H963</f>
        <v>8.39</v>
      </c>
      <c r="G392" s="204">
        <f>CPUE!I963</f>
        <v>8.3930000000000007</v>
      </c>
      <c r="H392" s="196">
        <f t="shared" si="156"/>
        <v>16.783000000000001</v>
      </c>
      <c r="I392" s="196">
        <f>E392*F392*(1+$G$436)</f>
        <v>10.069049528421811</v>
      </c>
      <c r="J392" s="189">
        <f t="shared" si="155"/>
        <v>11.228931155666324</v>
      </c>
      <c r="K392" s="786">
        <f t="shared" si="157"/>
        <v>21.297980684088134</v>
      </c>
      <c r="L392" s="709">
        <f t="shared" si="158"/>
        <v>7.776433171896918E-6</v>
      </c>
      <c r="M392" s="190"/>
      <c r="N392" s="190"/>
      <c r="O392" s="190"/>
    </row>
    <row r="393" spans="1:15" s="191" customFormat="1">
      <c r="A393" s="710" t="s">
        <v>1429</v>
      </c>
      <c r="B393" s="205" t="s">
        <v>308</v>
      </c>
      <c r="C393" s="811" t="s">
        <v>793</v>
      </c>
      <c r="D393" s="221" t="s">
        <v>737</v>
      </c>
      <c r="E393" s="195">
        <v>80</v>
      </c>
      <c r="F393" s="204">
        <f>CPUE!H667</f>
        <v>190.971</v>
      </c>
      <c r="G393" s="204">
        <f>CPUE!I667</f>
        <v>5.995000000000001</v>
      </c>
      <c r="H393" s="196">
        <f t="shared" si="145"/>
        <v>15757.28</v>
      </c>
      <c r="I393" s="196">
        <f>E393*F393*(1+$G$436)</f>
        <v>18335.1271274588</v>
      </c>
      <c r="J393" s="189">
        <f t="shared" si="155"/>
        <v>641.65320889521854</v>
      </c>
      <c r="K393" s="196">
        <f t="shared" si="148"/>
        <v>18976.780336354019</v>
      </c>
      <c r="L393" s="709">
        <f t="shared" si="158"/>
        <v>6.9289040258016738E-3</v>
      </c>
      <c r="M393" s="190"/>
      <c r="N393" s="190"/>
      <c r="O393" s="190"/>
    </row>
    <row r="394" spans="1:15" s="191" customFormat="1">
      <c r="A394" s="710" t="s">
        <v>1436</v>
      </c>
      <c r="B394" s="205" t="s">
        <v>309</v>
      </c>
      <c r="C394" s="811" t="s">
        <v>156</v>
      </c>
      <c r="D394" s="221" t="s">
        <v>737</v>
      </c>
      <c r="E394" s="195">
        <v>8</v>
      </c>
      <c r="F394" s="204">
        <f>CPUE!H681</f>
        <v>48.33</v>
      </c>
      <c r="G394" s="204">
        <f>CPUE!I681</f>
        <v>17.984999999999999</v>
      </c>
      <c r="H394" s="196">
        <f t="shared" si="145"/>
        <v>530.52</v>
      </c>
      <c r="I394" s="196">
        <f t="shared" ref="I394:I412" si="159">E394*F394*(1+$G$436)</f>
        <v>464.01636587234907</v>
      </c>
      <c r="J394" s="189">
        <f t="shared" si="155"/>
        <v>192.49596266856554</v>
      </c>
      <c r="K394" s="196">
        <f t="shared" si="148"/>
        <v>656.51232854091461</v>
      </c>
      <c r="L394" s="709">
        <f t="shared" si="158"/>
        <v>2.3970930977691604E-4</v>
      </c>
      <c r="M394" s="190"/>
      <c r="N394" s="190"/>
      <c r="O394" s="190"/>
    </row>
    <row r="395" spans="1:15" s="191" customFormat="1">
      <c r="A395" s="710" t="s">
        <v>1437</v>
      </c>
      <c r="B395" s="205" t="s">
        <v>310</v>
      </c>
      <c r="C395" s="811" t="s">
        <v>157</v>
      </c>
      <c r="D395" s="221" t="s">
        <v>737</v>
      </c>
      <c r="E395" s="195">
        <v>2</v>
      </c>
      <c r="F395" s="204">
        <f>CPUE!H688</f>
        <v>53.5</v>
      </c>
      <c r="G395" s="204">
        <f>CPUE!I688</f>
        <v>17.984999999999999</v>
      </c>
      <c r="H395" s="196">
        <f t="shared" si="145"/>
        <v>142.97</v>
      </c>
      <c r="I395" s="196">
        <f t="shared" si="159"/>
        <v>128.41338492742952</v>
      </c>
      <c r="J395" s="189">
        <f t="shared" si="155"/>
        <v>48.123990667141385</v>
      </c>
      <c r="K395" s="196">
        <f t="shared" si="148"/>
        <v>176.5373755945709</v>
      </c>
      <c r="L395" s="709">
        <f t="shared" si="158"/>
        <v>6.4458275364992607E-5</v>
      </c>
      <c r="M395" s="190"/>
      <c r="N395" s="190"/>
      <c r="O395" s="190"/>
    </row>
    <row r="396" spans="1:15" s="191" customFormat="1">
      <c r="A396" s="710" t="s">
        <v>1438</v>
      </c>
      <c r="B396" s="205" t="s">
        <v>311</v>
      </c>
      <c r="C396" s="811" t="s">
        <v>1241</v>
      </c>
      <c r="D396" s="221" t="s">
        <v>737</v>
      </c>
      <c r="E396" s="195">
        <v>13</v>
      </c>
      <c r="F396" s="204">
        <f>CPUE!H695</f>
        <v>71.88</v>
      </c>
      <c r="G396" s="204">
        <f>CPUE!I695</f>
        <v>17.984999999999999</v>
      </c>
      <c r="H396" s="196">
        <f t="shared" si="145"/>
        <v>1168.2449999999999</v>
      </c>
      <c r="I396" s="196">
        <f t="shared" si="159"/>
        <v>1121.4448916970769</v>
      </c>
      <c r="J396" s="189">
        <f t="shared" si="155"/>
        <v>312.80593933641904</v>
      </c>
      <c r="K396" s="196">
        <f t="shared" si="148"/>
        <v>1434.2508310334958</v>
      </c>
      <c r="L396" s="709">
        <f t="shared" si="158"/>
        <v>5.2368137170874355E-4</v>
      </c>
      <c r="M396" s="190"/>
      <c r="N396" s="190"/>
      <c r="O396" s="190"/>
    </row>
    <row r="397" spans="1:15" s="191" customFormat="1">
      <c r="A397" s="710" t="s">
        <v>1439</v>
      </c>
      <c r="B397" s="205" t="s">
        <v>312</v>
      </c>
      <c r="C397" s="811" t="s">
        <v>158</v>
      </c>
      <c r="D397" s="221" t="s">
        <v>737</v>
      </c>
      <c r="E397" s="195">
        <v>14</v>
      </c>
      <c r="F397" s="204">
        <f>CPUE!H702</f>
        <v>2.6</v>
      </c>
      <c r="G397" s="204">
        <f>CPUE!I702</f>
        <v>8.9924999999999997</v>
      </c>
      <c r="H397" s="196">
        <f t="shared" si="145"/>
        <v>162.29499999999999</v>
      </c>
      <c r="I397" s="196">
        <f t="shared" si="159"/>
        <v>43.684553377181629</v>
      </c>
      <c r="J397" s="189">
        <f t="shared" si="155"/>
        <v>168.43396733499486</v>
      </c>
      <c r="K397" s="196">
        <f t="shared" si="148"/>
        <v>212.11852071217649</v>
      </c>
      <c r="L397" s="709">
        <f t="shared" si="158"/>
        <v>7.7449854298733802E-5</v>
      </c>
      <c r="M397" s="190"/>
      <c r="N397" s="190"/>
      <c r="O397" s="190"/>
    </row>
    <row r="398" spans="1:15" s="191" customFormat="1">
      <c r="A398" s="710" t="s">
        <v>1440</v>
      </c>
      <c r="B398" s="205" t="s">
        <v>313</v>
      </c>
      <c r="C398" s="811" t="s">
        <v>159</v>
      </c>
      <c r="D398" s="221" t="s">
        <v>737</v>
      </c>
      <c r="E398" s="195">
        <v>80</v>
      </c>
      <c r="F398" s="204">
        <f>CPUE!H709</f>
        <v>10.56</v>
      </c>
      <c r="G398" s="204">
        <f>CPUE!I709</f>
        <v>11.990000000000002</v>
      </c>
      <c r="H398" s="196">
        <f t="shared" si="145"/>
        <v>1804.0000000000005</v>
      </c>
      <c r="I398" s="196">
        <f t="shared" si="159"/>
        <v>1013.8656783803034</v>
      </c>
      <c r="J398" s="189">
        <f t="shared" si="155"/>
        <v>1283.3064177904371</v>
      </c>
      <c r="K398" s="196">
        <f t="shared" si="148"/>
        <v>2297.1720961707406</v>
      </c>
      <c r="L398" s="709">
        <f t="shared" si="158"/>
        <v>8.3875582174625107E-4</v>
      </c>
      <c r="M398" s="190"/>
      <c r="N398" s="190"/>
      <c r="O398" s="190"/>
    </row>
    <row r="399" spans="1:15" s="191" customFormat="1">
      <c r="A399" s="710" t="s">
        <v>1137</v>
      </c>
      <c r="B399" s="205" t="s">
        <v>314</v>
      </c>
      <c r="C399" s="811" t="s">
        <v>160</v>
      </c>
      <c r="D399" s="221" t="s">
        <v>737</v>
      </c>
      <c r="E399" s="195">
        <v>3</v>
      </c>
      <c r="F399" s="204">
        <f>CPUE!H715</f>
        <v>7.35</v>
      </c>
      <c r="G399" s="204">
        <f>CPUE!I715</f>
        <v>6.5980000000000008</v>
      </c>
      <c r="H399" s="196">
        <f t="shared" si="145"/>
        <v>41.844000000000001</v>
      </c>
      <c r="I399" s="196">
        <f t="shared" si="159"/>
        <v>26.462758295792714</v>
      </c>
      <c r="J399" s="189">
        <f t="shared" si="155"/>
        <v>26.4822427374311</v>
      </c>
      <c r="K399" s="196">
        <f t="shared" si="148"/>
        <v>52.945001033223818</v>
      </c>
      <c r="L399" s="709">
        <f t="shared" si="158"/>
        <v>1.9331563326493181E-5</v>
      </c>
      <c r="M399" s="190"/>
      <c r="N399" s="190"/>
      <c r="O399" s="190"/>
    </row>
    <row r="400" spans="1:15" s="191" customFormat="1">
      <c r="A400" s="710" t="s">
        <v>1667</v>
      </c>
      <c r="B400" s="205" t="s">
        <v>315</v>
      </c>
      <c r="C400" s="811" t="s">
        <v>1631</v>
      </c>
      <c r="D400" s="221" t="s">
        <v>737</v>
      </c>
      <c r="E400" s="195">
        <v>45</v>
      </c>
      <c r="F400" s="204">
        <f>CPUE!H971</f>
        <v>101.04600000000002</v>
      </c>
      <c r="G400" s="204">
        <f>CPUE!I971</f>
        <v>9.2940000000000005</v>
      </c>
      <c r="H400" s="196">
        <f t="shared" ref="H400:H403" si="160">E400*(F400+G400)</f>
        <v>4965.3000000000011</v>
      </c>
      <c r="I400" s="196">
        <f t="shared" si="159"/>
        <v>5457.0528056258599</v>
      </c>
      <c r="J400" s="189">
        <f t="shared" si="155"/>
        <v>559.54675053429366</v>
      </c>
      <c r="K400" s="196">
        <f t="shared" ref="K400:K403" si="161">I400+J400</f>
        <v>6016.599556160154</v>
      </c>
      <c r="L400" s="709">
        <f t="shared" si="158"/>
        <v>2.1968131657429616E-3</v>
      </c>
      <c r="M400" s="190"/>
      <c r="N400" s="190"/>
      <c r="O400" s="190"/>
    </row>
    <row r="401" spans="1:15" s="191" customFormat="1">
      <c r="A401" s="710" t="s">
        <v>1671</v>
      </c>
      <c r="B401" s="205" t="s">
        <v>316</v>
      </c>
      <c r="C401" s="811" t="s">
        <v>1672</v>
      </c>
      <c r="D401" s="221" t="s">
        <v>737</v>
      </c>
      <c r="E401" s="195">
        <v>7</v>
      </c>
      <c r="F401" s="204">
        <f>CPUE!H978</f>
        <v>42.5</v>
      </c>
      <c r="G401" s="204">
        <f>CPUE!I978</f>
        <v>8.3930000000000007</v>
      </c>
      <c r="H401" s="196">
        <f t="shared" si="160"/>
        <v>356.25099999999998</v>
      </c>
      <c r="I401" s="196">
        <f t="shared" si="159"/>
        <v>357.03721510196527</v>
      </c>
      <c r="J401" s="189">
        <f t="shared" si="155"/>
        <v>78.602518089664258</v>
      </c>
      <c r="K401" s="196">
        <f t="shared" si="161"/>
        <v>435.63973319162955</v>
      </c>
      <c r="L401" s="709">
        <f t="shared" si="158"/>
        <v>1.5906312069851309E-4</v>
      </c>
      <c r="M401" s="190"/>
      <c r="N401" s="190"/>
      <c r="O401" s="190"/>
    </row>
    <row r="402" spans="1:15" s="191" customFormat="1">
      <c r="A402" s="710" t="s">
        <v>1674</v>
      </c>
      <c r="B402" s="205" t="s">
        <v>317</v>
      </c>
      <c r="C402" s="811" t="s">
        <v>1632</v>
      </c>
      <c r="D402" s="221" t="s">
        <v>737</v>
      </c>
      <c r="E402" s="195">
        <v>1</v>
      </c>
      <c r="F402" s="204">
        <f>CPUE!H985</f>
        <v>27.65</v>
      </c>
      <c r="G402" s="204">
        <f>CPUE!I985</f>
        <v>31.174000000000003</v>
      </c>
      <c r="H402" s="196">
        <f t="shared" si="160"/>
        <v>58.823999999999998</v>
      </c>
      <c r="I402" s="196">
        <f t="shared" si="159"/>
        <v>33.183458815359124</v>
      </c>
      <c r="J402" s="189">
        <f t="shared" si="155"/>
        <v>41.707458578189204</v>
      </c>
      <c r="K402" s="196">
        <f t="shared" si="161"/>
        <v>74.890917393548335</v>
      </c>
      <c r="L402" s="709">
        <f t="shared" si="158"/>
        <v>2.7344574254782962E-5</v>
      </c>
      <c r="M402" s="190"/>
      <c r="N402" s="190"/>
      <c r="O402" s="190"/>
    </row>
    <row r="403" spans="1:15" s="191" customFormat="1">
      <c r="A403" s="710" t="s">
        <v>1675</v>
      </c>
      <c r="B403" s="205" t="s">
        <v>318</v>
      </c>
      <c r="C403" s="811" t="s">
        <v>1633</v>
      </c>
      <c r="D403" s="221" t="s">
        <v>737</v>
      </c>
      <c r="E403" s="195">
        <v>45</v>
      </c>
      <c r="F403" s="204">
        <f>CPUE!H992</f>
        <v>4.12</v>
      </c>
      <c r="G403" s="204">
        <f>CPUE!I992</f>
        <v>11.990000000000002</v>
      </c>
      <c r="H403" s="196">
        <f t="shared" si="160"/>
        <v>724.95000000000016</v>
      </c>
      <c r="I403" s="196">
        <f t="shared" si="159"/>
        <v>222.50319220135918</v>
      </c>
      <c r="J403" s="189">
        <f t="shared" si="155"/>
        <v>721.8598600071208</v>
      </c>
      <c r="K403" s="196">
        <f t="shared" si="161"/>
        <v>944.36305220847998</v>
      </c>
      <c r="L403" s="709">
        <f t="shared" si="158"/>
        <v>3.4481091303620304E-4</v>
      </c>
      <c r="M403" s="190"/>
      <c r="N403" s="190"/>
      <c r="O403" s="190"/>
    </row>
    <row r="404" spans="1:15" s="191" customFormat="1">
      <c r="A404" s="710" t="s">
        <v>1441</v>
      </c>
      <c r="B404" s="205" t="s">
        <v>319</v>
      </c>
      <c r="C404" s="811" t="s">
        <v>794</v>
      </c>
      <c r="D404" s="222" t="s">
        <v>13</v>
      </c>
      <c r="E404" s="195">
        <v>82.65</v>
      </c>
      <c r="F404" s="204">
        <f>CPUE!H722</f>
        <v>39.3855</v>
      </c>
      <c r="G404" s="204">
        <f>CPUE!I722</f>
        <v>6.74</v>
      </c>
      <c r="H404" s="196">
        <f t="shared" si="145"/>
        <v>3812.2725750000004</v>
      </c>
      <c r="I404" s="196">
        <f t="shared" si="159"/>
        <v>3906.6610934644777</v>
      </c>
      <c r="J404" s="189">
        <f t="shared" si="155"/>
        <v>745.28769432939805</v>
      </c>
      <c r="K404" s="196">
        <f t="shared" si="148"/>
        <v>4651.9487877938755</v>
      </c>
      <c r="L404" s="709">
        <f t="shared" si="158"/>
        <v>1.6985445429759905E-3</v>
      </c>
      <c r="M404" s="190"/>
      <c r="N404" s="190"/>
      <c r="O404" s="190"/>
    </row>
    <row r="405" spans="1:15" s="191" customFormat="1">
      <c r="A405" s="710" t="s">
        <v>1676</v>
      </c>
      <c r="B405" s="205" t="s">
        <v>320</v>
      </c>
      <c r="C405" s="811" t="s">
        <v>1634</v>
      </c>
      <c r="D405" s="221" t="s">
        <v>737</v>
      </c>
      <c r="E405" s="195">
        <v>16</v>
      </c>
      <c r="F405" s="204">
        <f>CPUE!H999</f>
        <v>1.49</v>
      </c>
      <c r="G405" s="204">
        <f>CPUE!I999</f>
        <v>5.995000000000001</v>
      </c>
      <c r="H405" s="196">
        <f t="shared" ref="H405:H406" si="162">E405*(F405+G405)</f>
        <v>119.76000000000002</v>
      </c>
      <c r="I405" s="196">
        <f t="shared" si="159"/>
        <v>28.610982211868407</v>
      </c>
      <c r="J405" s="189">
        <f t="shared" si="155"/>
        <v>128.3306417790437</v>
      </c>
      <c r="K405" s="196">
        <f t="shared" ref="K405:K406" si="163">I405+J405</f>
        <v>156.94162399091212</v>
      </c>
      <c r="L405" s="709">
        <f t="shared" si="158"/>
        <v>5.7303369223454399E-5</v>
      </c>
      <c r="M405" s="190"/>
      <c r="N405" s="190"/>
      <c r="O405" s="190"/>
    </row>
    <row r="406" spans="1:15" s="191" customFormat="1">
      <c r="A406" s="710" t="s">
        <v>2352</v>
      </c>
      <c r="B406" s="205" t="s">
        <v>801</v>
      </c>
      <c r="C406" s="811" t="s">
        <v>1635</v>
      </c>
      <c r="D406" s="221" t="s">
        <v>13</v>
      </c>
      <c r="E406" s="195">
        <v>360</v>
      </c>
      <c r="F406" s="196">
        <f>CPUE!H1160</f>
        <v>8.3000000000000007</v>
      </c>
      <c r="G406" s="196">
        <f>CPUE!I1160</f>
        <v>2.1568000000000001</v>
      </c>
      <c r="H406" s="196">
        <f t="shared" si="162"/>
        <v>3764.4480000000003</v>
      </c>
      <c r="I406" s="196">
        <f t="shared" si="159"/>
        <v>3585.9737772257895</v>
      </c>
      <c r="J406" s="189">
        <f t="shared" si="155"/>
        <v>1038.8039006260938</v>
      </c>
      <c r="K406" s="196">
        <f t="shared" si="163"/>
        <v>4624.7776778518837</v>
      </c>
      <c r="L406" s="709">
        <f t="shared" si="158"/>
        <v>1.6886236812847211E-3</v>
      </c>
      <c r="M406" s="190"/>
      <c r="N406" s="190"/>
      <c r="O406" s="190"/>
    </row>
    <row r="407" spans="1:15" s="191" customFormat="1">
      <c r="A407" s="710" t="s">
        <v>2429</v>
      </c>
      <c r="B407" s="205" t="s">
        <v>1645</v>
      </c>
      <c r="C407" s="811" t="s">
        <v>876</v>
      </c>
      <c r="D407" s="221" t="s">
        <v>737</v>
      </c>
      <c r="E407" s="195">
        <v>717</v>
      </c>
      <c r="F407" s="204">
        <f>CPUE!H1682</f>
        <v>1.5</v>
      </c>
      <c r="G407" s="204">
        <f>CPUE!I1682</f>
        <v>1.0784</v>
      </c>
      <c r="H407" s="786">
        <f t="shared" ref="H407" si="164">E407*(F407+G407)</f>
        <v>1848.7128000000002</v>
      </c>
      <c r="I407" s="786">
        <f t="shared" si="159"/>
        <v>1290.7345372845837</v>
      </c>
      <c r="J407" s="189">
        <f t="shared" si="155"/>
        <v>1034.4755510401517</v>
      </c>
      <c r="K407" s="786">
        <f t="shared" ref="K407" si="165">I407+J407</f>
        <v>2325.2100883247354</v>
      </c>
      <c r="L407" s="709">
        <f t="shared" si="158"/>
        <v>8.4899320412976532E-4</v>
      </c>
      <c r="M407" s="190"/>
      <c r="N407" s="190"/>
      <c r="O407" s="190"/>
    </row>
    <row r="408" spans="1:15" s="191" customFormat="1">
      <c r="A408" s="710" t="s">
        <v>2350</v>
      </c>
      <c r="B408" s="205" t="s">
        <v>1646</v>
      </c>
      <c r="C408" s="811" t="s">
        <v>860</v>
      </c>
      <c r="D408" s="221" t="s">
        <v>737</v>
      </c>
      <c r="E408" s="195">
        <v>717</v>
      </c>
      <c r="F408" s="204">
        <f>CPUE!H1148</f>
        <v>2.35</v>
      </c>
      <c r="G408" s="204">
        <f>CPUE!I1148</f>
        <v>1.6175999999999999</v>
      </c>
      <c r="H408" s="786">
        <f t="shared" ref="H408:H409" si="166">E408*(F408+G408)</f>
        <v>2844.7692000000002</v>
      </c>
      <c r="I408" s="786">
        <f t="shared" si="159"/>
        <v>2022.1507750791811</v>
      </c>
      <c r="J408" s="189">
        <f t="shared" si="155"/>
        <v>1551.7133265602274</v>
      </c>
      <c r="K408" s="786">
        <f t="shared" ref="K408:K409" si="167">I408+J408</f>
        <v>3573.8641016394085</v>
      </c>
      <c r="L408" s="709">
        <f t="shared" si="158"/>
        <v>1.304908468275765E-3</v>
      </c>
      <c r="M408" s="190"/>
      <c r="N408" s="190"/>
      <c r="O408" s="190"/>
    </row>
    <row r="409" spans="1:15" s="191" customFormat="1">
      <c r="A409" s="710" t="s">
        <v>2351</v>
      </c>
      <c r="B409" s="205" t="s">
        <v>1647</v>
      </c>
      <c r="C409" s="811" t="s">
        <v>861</v>
      </c>
      <c r="D409" s="221" t="s">
        <v>737</v>
      </c>
      <c r="E409" s="195">
        <v>717</v>
      </c>
      <c r="F409" s="204">
        <f>CPUE!H1154</f>
        <v>1.99</v>
      </c>
      <c r="G409" s="204">
        <f>CPUE!I1154</f>
        <v>0.53920000000000001</v>
      </c>
      <c r="H409" s="786">
        <f t="shared" si="166"/>
        <v>1813.4363999999998</v>
      </c>
      <c r="I409" s="786">
        <f t="shared" si="159"/>
        <v>1712.3744861308808</v>
      </c>
      <c r="J409" s="189">
        <f t="shared" si="155"/>
        <v>517.23777552007584</v>
      </c>
      <c r="K409" s="786">
        <f t="shared" si="167"/>
        <v>2229.6122616509565</v>
      </c>
      <c r="L409" s="709">
        <f t="shared" si="158"/>
        <v>8.1408801187073424E-4</v>
      </c>
      <c r="M409" s="190"/>
      <c r="N409" s="190"/>
      <c r="O409" s="190"/>
    </row>
    <row r="410" spans="1:15" s="191" customFormat="1" ht="42">
      <c r="A410" s="710" t="s">
        <v>1678</v>
      </c>
      <c r="B410" s="205" t="s">
        <v>1683</v>
      </c>
      <c r="C410" s="811" t="s">
        <v>2312</v>
      </c>
      <c r="D410" s="221" t="s">
        <v>737</v>
      </c>
      <c r="E410" s="195">
        <v>1</v>
      </c>
      <c r="F410" s="204">
        <f>CPUE!H1006</f>
        <v>10.09</v>
      </c>
      <c r="G410" s="204">
        <f>CPUE!I1006</f>
        <v>1.3788499999999999</v>
      </c>
      <c r="H410" s="786">
        <f t="shared" ref="H410:H412" si="168">E410*(F410+G410)</f>
        <v>11.46885</v>
      </c>
      <c r="I410" s="786">
        <f t="shared" si="159"/>
        <v>12.109262186147326</v>
      </c>
      <c r="J410" s="189">
        <f t="shared" si="155"/>
        <v>1.8447529755737528</v>
      </c>
      <c r="K410" s="786">
        <f t="shared" ref="K410:K412" si="169">I410+J410</f>
        <v>13.954015161721079</v>
      </c>
      <c r="L410" s="709">
        <f t="shared" si="158"/>
        <v>5.0949650107360058E-6</v>
      </c>
      <c r="M410" s="190"/>
      <c r="N410" s="190"/>
      <c r="O410" s="190"/>
    </row>
    <row r="411" spans="1:15" s="191" customFormat="1">
      <c r="A411" s="710" t="s">
        <v>1680</v>
      </c>
      <c r="B411" s="205" t="s">
        <v>1684</v>
      </c>
      <c r="C411" s="811" t="s">
        <v>2313</v>
      </c>
      <c r="D411" s="221" t="s">
        <v>737</v>
      </c>
      <c r="E411" s="195">
        <v>91</v>
      </c>
      <c r="F411" s="204">
        <f>CPUE!H1013</f>
        <v>5.2</v>
      </c>
      <c r="G411" s="204">
        <f>CPUE!I1013</f>
        <v>1.3788499999999999</v>
      </c>
      <c r="H411" s="786">
        <f t="shared" si="168"/>
        <v>598.67534999999998</v>
      </c>
      <c r="I411" s="786">
        <f t="shared" si="159"/>
        <v>567.89919390336115</v>
      </c>
      <c r="J411" s="189">
        <f t="shared" si="155"/>
        <v>167.87252077721149</v>
      </c>
      <c r="K411" s="786">
        <f t="shared" si="169"/>
        <v>735.77171468057259</v>
      </c>
      <c r="L411" s="709">
        <f t="shared" si="158"/>
        <v>2.6864892281831137E-4</v>
      </c>
      <c r="M411" s="190"/>
      <c r="N411" s="190"/>
      <c r="O411" s="190"/>
    </row>
    <row r="412" spans="1:15" s="191" customFormat="1" ht="21.75" thickBot="1">
      <c r="A412" s="724" t="s">
        <v>1681</v>
      </c>
      <c r="B412" s="779" t="s">
        <v>1685</v>
      </c>
      <c r="C412" s="820" t="s">
        <v>2276</v>
      </c>
      <c r="D412" s="712" t="s">
        <v>737</v>
      </c>
      <c r="E412" s="726">
        <v>40</v>
      </c>
      <c r="F412" s="768">
        <f>CPUE!H1020</f>
        <v>2.36</v>
      </c>
      <c r="G412" s="768">
        <f>CPUE!I1020</f>
        <v>1.3788499999999999</v>
      </c>
      <c r="H412" s="795">
        <f t="shared" si="168"/>
        <v>149.554</v>
      </c>
      <c r="I412" s="795">
        <f t="shared" si="159"/>
        <v>113.2918087584051</v>
      </c>
      <c r="J412" s="715">
        <f t="shared" si="155"/>
        <v>73.790119022950122</v>
      </c>
      <c r="K412" s="795">
        <f t="shared" si="169"/>
        <v>187.0819277813552</v>
      </c>
      <c r="L412" s="716">
        <f t="shared" si="158"/>
        <v>6.8308358930396985E-5</v>
      </c>
      <c r="M412" s="190"/>
      <c r="N412" s="190"/>
      <c r="O412" s="190"/>
    </row>
    <row r="413" spans="1:15" s="218" customFormat="1" ht="21.75" thickBot="1">
      <c r="A413" s="922" t="s">
        <v>201</v>
      </c>
      <c r="B413" s="923"/>
      <c r="C413" s="928" t="s">
        <v>176</v>
      </c>
      <c r="D413" s="929"/>
      <c r="E413" s="929"/>
      <c r="F413" s="929"/>
      <c r="G413" s="923"/>
      <c r="H413" s="831">
        <f>SUM(H414:H415)</f>
        <v>916.5813599999999</v>
      </c>
      <c r="I413" s="831">
        <f>SUM(I414:I415)</f>
        <v>889.00466372750179</v>
      </c>
      <c r="J413" s="832">
        <f>SUM(J414:J415)</f>
        <v>235.23006638098707</v>
      </c>
      <c r="K413" s="831">
        <f>SUM(K414:K415)</f>
        <v>1124.2347301084887</v>
      </c>
      <c r="L413" s="830">
        <f t="shared" si="158"/>
        <v>4.1048662677893398E-4</v>
      </c>
      <c r="M413" s="190"/>
      <c r="N413" s="190"/>
      <c r="O413" s="190"/>
    </row>
    <row r="414" spans="1:15" s="193" customFormat="1">
      <c r="A414" s="717" t="s">
        <v>1444</v>
      </c>
      <c r="B414" s="777" t="s">
        <v>321</v>
      </c>
      <c r="C414" s="819" t="s">
        <v>153</v>
      </c>
      <c r="D414" s="741" t="s">
        <v>737</v>
      </c>
      <c r="E414" s="720">
        <v>2</v>
      </c>
      <c r="F414" s="766">
        <f>CPUE!H750</f>
        <v>306.49</v>
      </c>
      <c r="G414" s="766">
        <f>CPUE!I750</f>
        <v>76.436250000000001</v>
      </c>
      <c r="H414" s="721">
        <f t="shared" si="145"/>
        <v>765.85249999999996</v>
      </c>
      <c r="I414" s="721">
        <f>E414*F414*(1+$G$436)</f>
        <v>735.65267937210979</v>
      </c>
      <c r="J414" s="722">
        <f>E414*G414*(1+$G$436)*(1+$H$7)</f>
        <v>204.52696033535088</v>
      </c>
      <c r="K414" s="721">
        <f t="shared" si="148"/>
        <v>940.17963970746064</v>
      </c>
      <c r="L414" s="723">
        <f t="shared" si="158"/>
        <v>3.4328344298037E-4</v>
      </c>
      <c r="M414" s="190"/>
      <c r="N414" s="190"/>
      <c r="O414" s="190"/>
    </row>
    <row r="415" spans="1:15" s="193" customFormat="1" ht="21.75" thickBot="1">
      <c r="A415" s="724" t="s">
        <v>795</v>
      </c>
      <c r="B415" s="779" t="s">
        <v>322</v>
      </c>
      <c r="C415" s="820" t="s">
        <v>154</v>
      </c>
      <c r="D415" s="725" t="s">
        <v>13</v>
      </c>
      <c r="E415" s="726">
        <v>4</v>
      </c>
      <c r="F415" s="809">
        <f>SUM('CPU SINAPI ND OBRA'!K768,'CPU SINAPI ND OBRA'!K771)</f>
        <v>31.945</v>
      </c>
      <c r="G415" s="809">
        <f>SUM('CPU SINAPI ND OBRA'!K769,'CPU SINAPI ND OBRA'!K770)</f>
        <v>5.737215</v>
      </c>
      <c r="H415" s="795">
        <f t="shared" si="145"/>
        <v>150.72886</v>
      </c>
      <c r="I415" s="795">
        <f>E415*F415*(1+$G$436)</f>
        <v>153.35198435539201</v>
      </c>
      <c r="J415" s="715">
        <f>E415*G415*(1+$G$436)*(1+$H$7)</f>
        <v>30.703106045636201</v>
      </c>
      <c r="K415" s="795">
        <f t="shared" si="148"/>
        <v>184.0550904010282</v>
      </c>
      <c r="L415" s="716">
        <f t="shared" si="158"/>
        <v>6.7203183798564056E-5</v>
      </c>
      <c r="M415" s="192"/>
      <c r="N415" s="192"/>
      <c r="O415" s="192"/>
    </row>
    <row r="416" spans="1:15" s="191" customFormat="1" ht="21.75" thickBot="1">
      <c r="A416" s="922" t="s">
        <v>202</v>
      </c>
      <c r="B416" s="923"/>
      <c r="C416" s="928" t="s">
        <v>177</v>
      </c>
      <c r="D416" s="929"/>
      <c r="E416" s="929"/>
      <c r="F416" s="929"/>
      <c r="G416" s="923"/>
      <c r="H416" s="831">
        <f>SUM(H417:H425)</f>
        <v>151508.95551000003</v>
      </c>
      <c r="I416" s="831">
        <f>SUM(I417:I425)</f>
        <v>153128.6369607115</v>
      </c>
      <c r="J416" s="832">
        <f>SUM(J417:J425)</f>
        <v>27989.198625421915</v>
      </c>
      <c r="K416" s="831">
        <f>SUM(K417:K425)</f>
        <v>181117.83558613344</v>
      </c>
      <c r="L416" s="830">
        <f t="shared" si="158"/>
        <v>6.6130717534477038E-2</v>
      </c>
      <c r="M416" s="190"/>
      <c r="N416" s="190"/>
      <c r="O416" s="190"/>
    </row>
    <row r="417" spans="1:15" s="193" customFormat="1" ht="42">
      <c r="A417" s="717" t="s">
        <v>789</v>
      </c>
      <c r="B417" s="777" t="s">
        <v>323</v>
      </c>
      <c r="C417" s="819" t="s">
        <v>2446</v>
      </c>
      <c r="D417" s="741" t="s">
        <v>737</v>
      </c>
      <c r="E417" s="720">
        <v>187</v>
      </c>
      <c r="F417" s="805">
        <f>SUM('CPU SINAPI ND OBRA'!K775)</f>
        <v>35.979999999999997</v>
      </c>
      <c r="G417" s="805">
        <f>SUM('CPU SINAPI ND OBRA'!K776:K777)</f>
        <v>12.361689999999999</v>
      </c>
      <c r="H417" s="784">
        <f t="shared" si="145"/>
        <v>9039.8960299999999</v>
      </c>
      <c r="I417" s="784">
        <f>E417*F417*(1+$G$436)</f>
        <v>8074.7536567460456</v>
      </c>
      <c r="J417" s="722">
        <f t="shared" ref="J417:J425" si="170">E417*G417*(1+$G$436)*(1+$H$7)</f>
        <v>3092.7203428842854</v>
      </c>
      <c r="K417" s="784">
        <f t="shared" si="148"/>
        <v>11167.473999630331</v>
      </c>
      <c r="L417" s="723">
        <f t="shared" si="158"/>
        <v>4.0775281255608772E-3</v>
      </c>
      <c r="M417" s="192"/>
      <c r="N417" s="192"/>
      <c r="O417" s="192"/>
    </row>
    <row r="418" spans="1:15" s="193" customFormat="1" ht="42">
      <c r="A418" s="710" t="s">
        <v>790</v>
      </c>
      <c r="B418" s="205" t="s">
        <v>324</v>
      </c>
      <c r="C418" s="811" t="s">
        <v>164</v>
      </c>
      <c r="D418" s="222" t="s">
        <v>13</v>
      </c>
      <c r="E418" s="195">
        <v>10370</v>
      </c>
      <c r="F418" s="204">
        <f>SUM('CPU SINAPI ND OBRA'!K781)</f>
        <v>5.628000000000001</v>
      </c>
      <c r="G418" s="204">
        <f>SUM('CPU SINAPI ND OBRA'!K782:K783)</f>
        <v>1.013155</v>
      </c>
      <c r="H418" s="196">
        <f t="shared" si="145"/>
        <v>68868.777350000018</v>
      </c>
      <c r="I418" s="196">
        <f>E418*F418*(1+$G$436)</f>
        <v>70042.13270984315</v>
      </c>
      <c r="J418" s="189">
        <f t="shared" si="170"/>
        <v>14056.456227314215</v>
      </c>
      <c r="K418" s="196">
        <f t="shared" si="148"/>
        <v>84098.588937157358</v>
      </c>
      <c r="L418" s="709">
        <f t="shared" si="158"/>
        <v>3.0706528774778721E-2</v>
      </c>
      <c r="M418" s="192"/>
      <c r="N418" s="192"/>
      <c r="O418" s="192"/>
    </row>
    <row r="419" spans="1:15" s="193" customFormat="1" ht="105">
      <c r="A419" s="772" t="s">
        <v>1235</v>
      </c>
      <c r="B419" s="205" t="s">
        <v>325</v>
      </c>
      <c r="C419" s="811" t="s">
        <v>178</v>
      </c>
      <c r="D419" s="221" t="s">
        <v>737</v>
      </c>
      <c r="E419" s="195">
        <v>1</v>
      </c>
      <c r="F419" s="204">
        <f>CPUE!H757</f>
        <v>3052.37</v>
      </c>
      <c r="G419" s="204">
        <f>CPUE!I757</f>
        <v>70.081550000000007</v>
      </c>
      <c r="H419" s="196">
        <f t="shared" si="145"/>
        <v>3122.4515499999998</v>
      </c>
      <c r="I419" s="196">
        <f t="shared" ref="I419:I424" si="171">E419*F419*(1+$G$436)</f>
        <v>3663.2258294480189</v>
      </c>
      <c r="J419" s="189">
        <f t="shared" si="170"/>
        <v>93.761575149813808</v>
      </c>
      <c r="K419" s="196">
        <f t="shared" si="148"/>
        <v>3756.9874045978327</v>
      </c>
      <c r="L419" s="709">
        <f t="shared" si="158"/>
        <v>1.3717714328354584E-3</v>
      </c>
      <c r="M419" s="190"/>
      <c r="N419" s="190"/>
      <c r="O419" s="190"/>
    </row>
    <row r="420" spans="1:15" s="193" customFormat="1" ht="42">
      <c r="A420" s="772" t="s">
        <v>1687</v>
      </c>
      <c r="B420" s="205" t="s">
        <v>326</v>
      </c>
      <c r="C420" s="811" t="s">
        <v>1639</v>
      </c>
      <c r="D420" s="221" t="s">
        <v>737</v>
      </c>
      <c r="E420" s="195">
        <v>8</v>
      </c>
      <c r="F420" s="204">
        <f>CPUE!H1026</f>
        <v>21.75</v>
      </c>
      <c r="G420" s="204">
        <f>CPUE!I1026</f>
        <v>5.3920000000000003</v>
      </c>
      <c r="H420" s="786">
        <f t="shared" ref="H420" si="172">E420*(F420+G420)</f>
        <v>217.136</v>
      </c>
      <c r="I420" s="786">
        <f t="shared" si="171"/>
        <v>208.82176614367043</v>
      </c>
      <c r="J420" s="189">
        <f t="shared" si="170"/>
        <v>57.711327812560775</v>
      </c>
      <c r="K420" s="786">
        <f t="shared" ref="K420" si="173">I420+J420</f>
        <v>266.5330939562312</v>
      </c>
      <c r="L420" s="709">
        <f t="shared" si="158"/>
        <v>9.7317995728959657E-5</v>
      </c>
      <c r="M420" s="190"/>
      <c r="N420" s="190"/>
      <c r="O420" s="190"/>
    </row>
    <row r="421" spans="1:15" s="193" customFormat="1" ht="42">
      <c r="A421" s="710" t="s">
        <v>1652</v>
      </c>
      <c r="B421" s="205" t="s">
        <v>327</v>
      </c>
      <c r="C421" s="811" t="s">
        <v>1640</v>
      </c>
      <c r="D421" s="221" t="s">
        <v>737</v>
      </c>
      <c r="E421" s="195">
        <v>4</v>
      </c>
      <c r="F421" s="204">
        <f>SUM('CPU SINAPI ND OBRA'!K787)</f>
        <v>1293.71</v>
      </c>
      <c r="G421" s="204">
        <f>SUM('CPU SINAPI ND OBRA'!K788:K789)</f>
        <v>738.79982000000007</v>
      </c>
      <c r="H421" s="786">
        <f t="shared" si="145"/>
        <v>8130.0392800000009</v>
      </c>
      <c r="I421" s="786">
        <f t="shared" si="171"/>
        <v>6210.4553351201812</v>
      </c>
      <c r="J421" s="189">
        <f t="shared" si="170"/>
        <v>3953.7387425705574</v>
      </c>
      <c r="K421" s="786">
        <f t="shared" si="148"/>
        <v>10164.19407769074</v>
      </c>
      <c r="L421" s="709">
        <f t="shared" si="158"/>
        <v>3.7112051684038134E-3</v>
      </c>
      <c r="M421" s="192"/>
      <c r="N421" s="192"/>
      <c r="O421" s="192"/>
    </row>
    <row r="422" spans="1:15" s="191" customFormat="1">
      <c r="A422" s="710" t="s">
        <v>1228</v>
      </c>
      <c r="B422" s="205" t="s">
        <v>328</v>
      </c>
      <c r="C422" s="811" t="s">
        <v>1642</v>
      </c>
      <c r="D422" s="221" t="s">
        <v>737</v>
      </c>
      <c r="E422" s="195">
        <v>187</v>
      </c>
      <c r="F422" s="802">
        <f>CPUE!H764</f>
        <v>13.91</v>
      </c>
      <c r="G422" s="802">
        <f>CPUE!I771</f>
        <v>11.990000000000002</v>
      </c>
      <c r="H422" s="786">
        <f t="shared" si="145"/>
        <v>4843.3</v>
      </c>
      <c r="I422" s="786">
        <f t="shared" si="171"/>
        <v>3121.7293875858118</v>
      </c>
      <c r="J422" s="189">
        <f t="shared" si="170"/>
        <v>2999.7287515851467</v>
      </c>
      <c r="K422" s="786">
        <f t="shared" si="148"/>
        <v>6121.458139170958</v>
      </c>
      <c r="L422" s="709">
        <f t="shared" si="158"/>
        <v>2.2350996951270609E-3</v>
      </c>
      <c r="M422" s="190"/>
      <c r="N422" s="190"/>
      <c r="O422" s="190"/>
    </row>
    <row r="423" spans="1:15" s="191" customFormat="1">
      <c r="A423" s="710" t="s">
        <v>1230</v>
      </c>
      <c r="B423" s="205" t="s">
        <v>329</v>
      </c>
      <c r="C423" s="811" t="s">
        <v>1643</v>
      </c>
      <c r="D423" s="221" t="s">
        <v>737</v>
      </c>
      <c r="E423" s="195">
        <v>187</v>
      </c>
      <c r="F423" s="204">
        <f>CPUE!H771</f>
        <v>12.81</v>
      </c>
      <c r="G423" s="204">
        <f>CPUE!I771</f>
        <v>11.990000000000002</v>
      </c>
      <c r="H423" s="196">
        <f t="shared" si="145"/>
        <v>4637.6000000000004</v>
      </c>
      <c r="I423" s="196">
        <f t="shared" si="171"/>
        <v>2874.8636560010245</v>
      </c>
      <c r="J423" s="189">
        <f t="shared" si="170"/>
        <v>2999.7287515851467</v>
      </c>
      <c r="K423" s="196">
        <f t="shared" si="148"/>
        <v>5874.5924075861712</v>
      </c>
      <c r="L423" s="709">
        <f t="shared" si="158"/>
        <v>2.1449627524480403E-3</v>
      </c>
      <c r="M423" s="190"/>
      <c r="N423" s="190"/>
      <c r="O423" s="190"/>
    </row>
    <row r="424" spans="1:15" s="191" customFormat="1" ht="42">
      <c r="A424" s="772" t="s">
        <v>1236</v>
      </c>
      <c r="B424" s="205" t="s">
        <v>2129</v>
      </c>
      <c r="C424" s="811" t="s">
        <v>1641</v>
      </c>
      <c r="D424" s="221" t="s">
        <v>737</v>
      </c>
      <c r="E424" s="195">
        <v>2</v>
      </c>
      <c r="F424" s="204">
        <f>CPUE!H778</f>
        <v>150.56</v>
      </c>
      <c r="G424" s="204">
        <f>CPUE!I778</f>
        <v>8.9924999999999997</v>
      </c>
      <c r="H424" s="196">
        <f t="shared" si="145"/>
        <v>319.10500000000002</v>
      </c>
      <c r="I424" s="196">
        <f t="shared" si="171"/>
        <v>361.38166793782784</v>
      </c>
      <c r="J424" s="189">
        <f t="shared" si="170"/>
        <v>24.061995333570692</v>
      </c>
      <c r="K424" s="196">
        <f t="shared" si="148"/>
        <v>385.44366327139852</v>
      </c>
      <c r="L424" s="709">
        <f t="shared" si="158"/>
        <v>1.4073526187393577E-4</v>
      </c>
      <c r="M424" s="190"/>
      <c r="N424" s="190"/>
      <c r="O424" s="190"/>
    </row>
    <row r="425" spans="1:15" s="191" customFormat="1" ht="63.75" thickBot="1">
      <c r="A425" s="724" t="s">
        <v>1238</v>
      </c>
      <c r="B425" s="779" t="s">
        <v>1686</v>
      </c>
      <c r="C425" s="820" t="s">
        <v>2485</v>
      </c>
      <c r="D425" s="712" t="s">
        <v>737</v>
      </c>
      <c r="E425" s="726">
        <v>1</v>
      </c>
      <c r="F425" s="768">
        <f>CPUE!H785</f>
        <v>51799</v>
      </c>
      <c r="G425" s="768">
        <f>CPUE!I785</f>
        <v>531.65030000000002</v>
      </c>
      <c r="H425" s="714">
        <f>E425*(F425+G425)</f>
        <v>52330.650300000001</v>
      </c>
      <c r="I425" s="795">
        <f t="shared" ref="I425" si="174">E425*F425*(1+$K$5)</f>
        <v>58571.27295188581</v>
      </c>
      <c r="J425" s="715">
        <f t="shared" si="170"/>
        <v>711.29091118662541</v>
      </c>
      <c r="K425" s="714">
        <f t="shared" si="148"/>
        <v>59282.563863072435</v>
      </c>
      <c r="L425" s="716">
        <f t="shared" si="158"/>
        <v>2.1645568327720167E-2</v>
      </c>
      <c r="M425" s="190"/>
      <c r="N425" s="190"/>
      <c r="O425" s="190"/>
    </row>
    <row r="426" spans="1:15" s="218" customFormat="1" ht="21.75" thickBot="1">
      <c r="A426" s="922" t="s">
        <v>1046</v>
      </c>
      <c r="B426" s="923"/>
      <c r="C426" s="928" t="s">
        <v>1045</v>
      </c>
      <c r="D426" s="929"/>
      <c r="E426" s="929"/>
      <c r="F426" s="929"/>
      <c r="G426" s="923"/>
      <c r="H426" s="831">
        <f>SUM(H427)</f>
        <v>3823.8040000000001</v>
      </c>
      <c r="I426" s="831">
        <f t="shared" ref="I426:K426" si="175">SUM(I427)</f>
        <v>4288.1669690112003</v>
      </c>
      <c r="J426" s="832">
        <f t="shared" si="175"/>
        <v>335.41498349221615</v>
      </c>
      <c r="K426" s="831">
        <f t="shared" si="175"/>
        <v>4623.5819525034167</v>
      </c>
      <c r="L426" s="830">
        <f t="shared" si="158"/>
        <v>1.6881870916191457E-3</v>
      </c>
      <c r="M426" s="190"/>
      <c r="N426" s="190"/>
      <c r="O426" s="190"/>
    </row>
    <row r="427" spans="1:15" s="191" customFormat="1" ht="42.75" thickBot="1">
      <c r="A427" s="821" t="s">
        <v>1242</v>
      </c>
      <c r="B427" s="822" t="s">
        <v>1047</v>
      </c>
      <c r="C427" s="728" t="s">
        <v>1566</v>
      </c>
      <c r="D427" s="759" t="s">
        <v>737</v>
      </c>
      <c r="E427" s="758">
        <v>2</v>
      </c>
      <c r="F427" s="823">
        <f>CPUE!H792</f>
        <v>1786.55</v>
      </c>
      <c r="G427" s="823">
        <f>CPUE!I792</f>
        <v>125.352</v>
      </c>
      <c r="H427" s="731">
        <f t="shared" ref="H427" si="176">E427*(F427+G427)</f>
        <v>3823.8040000000001</v>
      </c>
      <c r="I427" s="731">
        <f>E427*F427*(1+$G$436)</f>
        <v>4288.1669690112003</v>
      </c>
      <c r="J427" s="732">
        <f>E427*G427*(1+$G$436)*(1+$H$7)</f>
        <v>335.41498349221615</v>
      </c>
      <c r="K427" s="731">
        <f t="shared" ref="K427" si="177">I427+J427</f>
        <v>4623.5819525034167</v>
      </c>
      <c r="L427" s="733">
        <f t="shared" si="158"/>
        <v>1.6881870916191457E-3</v>
      </c>
      <c r="M427" s="190"/>
      <c r="N427" s="190"/>
      <c r="O427" s="190"/>
    </row>
    <row r="428" spans="1:15" s="218" customFormat="1" ht="21.75" thickBot="1">
      <c r="A428" s="922" t="s">
        <v>1049</v>
      </c>
      <c r="B428" s="923"/>
      <c r="C428" s="928" t="s">
        <v>1048</v>
      </c>
      <c r="D428" s="929"/>
      <c r="E428" s="929"/>
      <c r="F428" s="929"/>
      <c r="G428" s="923"/>
      <c r="H428" s="831">
        <f>SUM(H429:H432)</f>
        <v>20194.267500000002</v>
      </c>
      <c r="I428" s="831">
        <f>SUM(I429:I432)</f>
        <v>22419.032805678889</v>
      </c>
      <c r="J428" s="832">
        <f>SUM(J429:J432)</f>
        <v>2025.1510459540887</v>
      </c>
      <c r="K428" s="831">
        <f>SUM(K429:K432)</f>
        <v>24444.183851632981</v>
      </c>
      <c r="L428" s="830">
        <f t="shared" si="158"/>
        <v>8.9251917814819944E-3</v>
      </c>
      <c r="M428" s="190"/>
      <c r="N428" s="190"/>
      <c r="O428" s="190"/>
    </row>
    <row r="429" spans="1:15" s="191" customFormat="1" ht="84">
      <c r="A429" s="813" t="s">
        <v>1245</v>
      </c>
      <c r="B429" s="777" t="s">
        <v>1050</v>
      </c>
      <c r="C429" s="760" t="s">
        <v>1567</v>
      </c>
      <c r="D429" s="719" t="s">
        <v>737</v>
      </c>
      <c r="E429" s="824">
        <v>14</v>
      </c>
      <c r="F429" s="766">
        <f>CPUE!H799</f>
        <v>350.32</v>
      </c>
      <c r="G429" s="766">
        <f>CPUE!I799</f>
        <v>100.91249999999999</v>
      </c>
      <c r="H429" s="721">
        <f t="shared" ref="H429" si="178">E429*(F429+G429)</f>
        <v>6317.2549999999992</v>
      </c>
      <c r="I429" s="721">
        <f>E429*F429*(1+$G$436)</f>
        <v>5885.9895150362563</v>
      </c>
      <c r="J429" s="722">
        <f>E429*G429*(1+$G$436)*(1+$H$7)</f>
        <v>1890.1409762238161</v>
      </c>
      <c r="K429" s="721">
        <f t="shared" ref="K429" si="179">I429+J429</f>
        <v>7776.1304912600726</v>
      </c>
      <c r="L429" s="723">
        <f t="shared" si="158"/>
        <v>2.8392625572438365E-3</v>
      </c>
      <c r="M429" s="190"/>
      <c r="N429" s="190"/>
      <c r="O429" s="190"/>
    </row>
    <row r="430" spans="1:15" s="191" customFormat="1" ht="42">
      <c r="A430" s="772" t="s">
        <v>1570</v>
      </c>
      <c r="B430" s="205" t="s">
        <v>1051</v>
      </c>
      <c r="C430" s="194" t="s">
        <v>1568</v>
      </c>
      <c r="D430" s="222" t="s">
        <v>737</v>
      </c>
      <c r="E430" s="223">
        <v>1</v>
      </c>
      <c r="F430" s="204">
        <f>CPUE!H889</f>
        <v>529</v>
      </c>
      <c r="G430" s="204">
        <f>CPUE!I889</f>
        <v>100.91249999999999</v>
      </c>
      <c r="H430" s="196">
        <f t="shared" ref="H430:H431" si="180">E430*(F430+G430)</f>
        <v>629.91250000000002</v>
      </c>
      <c r="I430" s="196">
        <f>E430*F430*(1+$G$436)</f>
        <v>634.86617408046925</v>
      </c>
      <c r="J430" s="189">
        <f>E430*G430*(1+$G$436)*(1+$H$7)</f>
        <v>135.01006973027259</v>
      </c>
      <c r="K430" s="196">
        <f t="shared" ref="K430:K431" si="181">I430+J430</f>
        <v>769.87624381074181</v>
      </c>
      <c r="L430" s="709">
        <f t="shared" si="158"/>
        <v>2.8110135178674943E-4</v>
      </c>
      <c r="M430" s="190"/>
      <c r="N430" s="190"/>
      <c r="O430" s="190"/>
    </row>
    <row r="431" spans="1:15" s="191" customFormat="1" ht="42">
      <c r="A431" s="772" t="s">
        <v>1571</v>
      </c>
      <c r="B431" s="205" t="s">
        <v>1572</v>
      </c>
      <c r="C431" s="194" t="s">
        <v>2165</v>
      </c>
      <c r="D431" s="222" t="s">
        <v>737</v>
      </c>
      <c r="E431" s="223">
        <v>14</v>
      </c>
      <c r="F431" s="204">
        <f>CPUE!H894</f>
        <v>590.65</v>
      </c>
      <c r="G431" s="204">
        <f>CPUE!I894</f>
        <v>0</v>
      </c>
      <c r="H431" s="196">
        <f t="shared" si="180"/>
        <v>8269.1</v>
      </c>
      <c r="I431" s="196">
        <f>E431*F431*(1+$G$436)</f>
        <v>9923.954404704742</v>
      </c>
      <c r="J431" s="189">
        <f>E431*G431*(1+$G$436)*(1+$H$7)</f>
        <v>0</v>
      </c>
      <c r="K431" s="196">
        <f t="shared" si="181"/>
        <v>9923.954404704742</v>
      </c>
      <c r="L431" s="709">
        <f t="shared" si="158"/>
        <v>3.6234875678516762E-3</v>
      </c>
      <c r="M431" s="190"/>
      <c r="N431" s="190"/>
      <c r="O431" s="190"/>
    </row>
    <row r="432" spans="1:15" s="191" customFormat="1" ht="42.75" thickBot="1">
      <c r="A432" s="814" t="s">
        <v>1249</v>
      </c>
      <c r="B432" s="779" t="s">
        <v>1573</v>
      </c>
      <c r="C432" s="711" t="s">
        <v>2166</v>
      </c>
      <c r="D432" s="725" t="s">
        <v>737</v>
      </c>
      <c r="E432" s="825">
        <v>1</v>
      </c>
      <c r="F432" s="768">
        <f>CPUE!H804</f>
        <v>4978</v>
      </c>
      <c r="G432" s="768">
        <f>CPUE!I804</f>
        <v>0</v>
      </c>
      <c r="H432" s="714">
        <f t="shared" ref="H432" si="182">E432*(F432+G432)</f>
        <v>4978</v>
      </c>
      <c r="I432" s="714">
        <f>E432*F432*(1+$G$436)</f>
        <v>5974.2227118574219</v>
      </c>
      <c r="J432" s="715">
        <f>E432*G432*(1+$G$436)*(1+$H$7)</f>
        <v>0</v>
      </c>
      <c r="K432" s="714">
        <f t="shared" ref="K432" si="183">I432+J432</f>
        <v>5974.2227118574219</v>
      </c>
      <c r="L432" s="716">
        <f t="shared" si="158"/>
        <v>2.1813403045997321E-3</v>
      </c>
      <c r="M432" s="190"/>
      <c r="N432" s="190"/>
      <c r="O432" s="190"/>
    </row>
    <row r="433" spans="1:15" s="218" customFormat="1" ht="21.75" thickBot="1">
      <c r="A433" s="922">
        <v>8</v>
      </c>
      <c r="B433" s="923"/>
      <c r="C433" s="928" t="s">
        <v>2181</v>
      </c>
      <c r="D433" s="929"/>
      <c r="E433" s="929"/>
      <c r="F433" s="929"/>
      <c r="G433" s="923"/>
      <c r="H433" s="831">
        <f>SUM(H434:H435)</f>
        <v>8266.6324800000002</v>
      </c>
      <c r="I433" s="831">
        <f>SUM(I434:I435)</f>
        <v>1145.4120858724418</v>
      </c>
      <c r="J433" s="832">
        <f>SUM(J434:J435)</f>
        <v>9782.9663183671619</v>
      </c>
      <c r="K433" s="831">
        <f>SUM(K434:K435)</f>
        <v>10928.378404239602</v>
      </c>
      <c r="L433" s="830">
        <f t="shared" si="158"/>
        <v>3.9902282567690905E-3</v>
      </c>
      <c r="M433" s="190"/>
      <c r="N433" s="190"/>
      <c r="O433" s="190"/>
    </row>
    <row r="434" spans="1:15" s="193" customFormat="1">
      <c r="A434" s="734" t="s">
        <v>1575</v>
      </c>
      <c r="B434" s="746" t="s">
        <v>775</v>
      </c>
      <c r="C434" s="745" t="s">
        <v>2106</v>
      </c>
      <c r="D434" s="826" t="s">
        <v>4</v>
      </c>
      <c r="E434" s="827">
        <v>981.8</v>
      </c>
      <c r="F434" s="804">
        <f>CPUE!H900</f>
        <v>0.81809999999999994</v>
      </c>
      <c r="G434" s="804">
        <f>CPUE!I900</f>
        <v>5.0979999999999999</v>
      </c>
      <c r="H434" s="721">
        <f>E434*(F434+G434)</f>
        <v>5808.4269800000002</v>
      </c>
      <c r="I434" s="721">
        <f>E434*F434*(1+$G$436)</f>
        <v>963.95317184414876</v>
      </c>
      <c r="J434" s="722">
        <f>E434*G434*(1+$G$436)*(1+$H$7)</f>
        <v>6696.4411265116196</v>
      </c>
      <c r="K434" s="721">
        <f>I434+J434</f>
        <v>7660.3942983557681</v>
      </c>
      <c r="L434" s="723">
        <f t="shared" si="158"/>
        <v>2.7970043364744608E-3</v>
      </c>
      <c r="M434" s="190"/>
      <c r="N434" s="190"/>
      <c r="O434" s="190"/>
    </row>
    <row r="435" spans="1:15" s="191" customFormat="1" ht="63.75" thickBot="1">
      <c r="A435" s="744" t="s">
        <v>1577</v>
      </c>
      <c r="B435" s="828" t="s">
        <v>776</v>
      </c>
      <c r="C435" s="752" t="s">
        <v>2440</v>
      </c>
      <c r="D435" s="712" t="s">
        <v>737</v>
      </c>
      <c r="E435" s="829">
        <v>1</v>
      </c>
      <c r="F435" s="713">
        <f>CPUE!H912</f>
        <v>151.20000000000002</v>
      </c>
      <c r="G435" s="714">
        <f>CPUE!I912</f>
        <v>2307.0054999999998</v>
      </c>
      <c r="H435" s="714">
        <f>E435*(F435+G435)</f>
        <v>2458.2054999999996</v>
      </c>
      <c r="I435" s="714">
        <f>E435*F435*(1+$G$436)</f>
        <v>181.45891402829295</v>
      </c>
      <c r="J435" s="715">
        <f>E435*G435*(1+$G$436)*(1+$H$7)</f>
        <v>3086.5251918555414</v>
      </c>
      <c r="K435" s="714">
        <f>I435+J435</f>
        <v>3267.9841058838342</v>
      </c>
      <c r="L435" s="716">
        <f t="shared" si="158"/>
        <v>1.1932239202946295E-3</v>
      </c>
      <c r="M435" s="190"/>
      <c r="N435" s="190"/>
      <c r="O435" s="190"/>
    </row>
    <row r="436" spans="1:15" ht="21.75" thickBot="1">
      <c r="A436" s="225"/>
      <c r="B436" s="226"/>
      <c r="C436" s="941" t="s">
        <v>2105</v>
      </c>
      <c r="D436" s="942"/>
      <c r="E436" s="943"/>
      <c r="F436" s="227" t="s">
        <v>9</v>
      </c>
      <c r="G436" s="228">
        <f>'BDI '!F25</f>
        <v>0.20012509277971513</v>
      </c>
      <c r="H436" s="229">
        <f>H10+H20+H116+H172+H212+H325+H346+H433</f>
        <v>2274814.4628146896</v>
      </c>
      <c r="I436" s="229">
        <f>I10+I20+I116+I172+I212+I325+I346+I433</f>
        <v>2154657.6223022607</v>
      </c>
      <c r="J436" s="230">
        <f>J10+J20+J116+J172+J212+J325+J346+J433</f>
        <v>561896.57918565406</v>
      </c>
      <c r="K436" s="229">
        <f>K10+K20+K116+K172+K212+K325+K346+K433</f>
        <v>2738785.2776844325</v>
      </c>
      <c r="L436" s="830">
        <f t="shared" si="158"/>
        <v>1</v>
      </c>
      <c r="M436" s="231"/>
      <c r="N436" s="231"/>
      <c r="O436" s="231"/>
    </row>
    <row r="437" spans="1:15">
      <c r="I437" s="236"/>
      <c r="J437" s="236"/>
      <c r="K437" s="237"/>
      <c r="L437" s="237"/>
    </row>
    <row r="438" spans="1:15">
      <c r="B438" s="238"/>
      <c r="C438" s="239"/>
      <c r="D438" s="240"/>
      <c r="E438" s="241"/>
      <c r="F438" s="242"/>
      <c r="K438" s="242"/>
      <c r="L438" s="242"/>
      <c r="M438" s="231"/>
    </row>
    <row r="439" spans="1:15">
      <c r="B439" s="238"/>
      <c r="C439" s="239"/>
      <c r="D439" s="240"/>
      <c r="E439" s="241"/>
      <c r="F439" s="242"/>
      <c r="K439" s="242"/>
      <c r="L439" s="242"/>
    </row>
    <row r="440" spans="1:15">
      <c r="B440" s="238"/>
      <c r="C440" s="238"/>
      <c r="D440" s="243"/>
      <c r="E440" s="241"/>
      <c r="F440" s="242"/>
      <c r="K440" s="242"/>
      <c r="M440" s="248"/>
    </row>
    <row r="441" spans="1:15">
      <c r="B441" s="238"/>
      <c r="C441" s="238"/>
      <c r="D441" s="243"/>
      <c r="E441" s="241"/>
      <c r="F441" s="242"/>
      <c r="M441" s="247"/>
    </row>
    <row r="442" spans="1:15">
      <c r="H442" s="244"/>
      <c r="I442" s="244"/>
      <c r="J442" s="244"/>
      <c r="K442" s="244"/>
      <c r="M442" s="247"/>
    </row>
    <row r="443" spans="1:15">
      <c r="H443" s="245"/>
      <c r="I443" s="245"/>
      <c r="J443" s="245"/>
      <c r="K443" s="245"/>
    </row>
    <row r="444" spans="1:15">
      <c r="H444" s="244"/>
      <c r="I444" s="244"/>
      <c r="J444" s="244"/>
      <c r="K444" s="244"/>
    </row>
    <row r="447" spans="1:15">
      <c r="J447" s="246"/>
    </row>
  </sheetData>
  <mergeCells count="86">
    <mergeCell ref="A62:B62"/>
    <mergeCell ref="A60:B60"/>
    <mergeCell ref="A114:B114"/>
    <mergeCell ref="A85:B85"/>
    <mergeCell ref="A78:B78"/>
    <mergeCell ref="A72:B72"/>
    <mergeCell ref="A69:B69"/>
    <mergeCell ref="C428:G428"/>
    <mergeCell ref="C433:G433"/>
    <mergeCell ref="C436:E436"/>
    <mergeCell ref="C224:G224"/>
    <mergeCell ref="C234:G234"/>
    <mergeCell ref="C241:G241"/>
    <mergeCell ref="C297:G297"/>
    <mergeCell ref="C300:G300"/>
    <mergeCell ref="C305:G305"/>
    <mergeCell ref="C325:G325"/>
    <mergeCell ref="C346:G346"/>
    <mergeCell ref="C347:G347"/>
    <mergeCell ref="C351:G351"/>
    <mergeCell ref="C357:G357"/>
    <mergeCell ref="C362:G362"/>
    <mergeCell ref="C372:G372"/>
    <mergeCell ref="C10:G10"/>
    <mergeCell ref="C20:G20"/>
    <mergeCell ref="C21:G21"/>
    <mergeCell ref="C60:G60"/>
    <mergeCell ref="C62:G62"/>
    <mergeCell ref="C50:G50"/>
    <mergeCell ref="C46:G46"/>
    <mergeCell ref="C44:G44"/>
    <mergeCell ref="C43:G43"/>
    <mergeCell ref="C121:G121"/>
    <mergeCell ref="C123:G123"/>
    <mergeCell ref="C155:G155"/>
    <mergeCell ref="C69:G69"/>
    <mergeCell ref="C72:G72"/>
    <mergeCell ref="C78:G78"/>
    <mergeCell ref="C85:G85"/>
    <mergeCell ref="C114:G114"/>
    <mergeCell ref="A8:K8"/>
    <mergeCell ref="A172:B172"/>
    <mergeCell ref="A155:B155"/>
    <mergeCell ref="A123:B123"/>
    <mergeCell ref="A121:B121"/>
    <mergeCell ref="A117:B117"/>
    <mergeCell ref="A116:B116"/>
    <mergeCell ref="A10:B10"/>
    <mergeCell ref="A20:B20"/>
    <mergeCell ref="A21:B21"/>
    <mergeCell ref="A43:B43"/>
    <mergeCell ref="A44:B44"/>
    <mergeCell ref="A46:B46"/>
    <mergeCell ref="A50:B50"/>
    <mergeCell ref="C116:G116"/>
    <mergeCell ref="C117:G117"/>
    <mergeCell ref="C383:G383"/>
    <mergeCell ref="C388:G388"/>
    <mergeCell ref="C413:G413"/>
    <mergeCell ref="C416:G416"/>
    <mergeCell ref="C426:G426"/>
    <mergeCell ref="A212:B212"/>
    <mergeCell ref="A213:B213"/>
    <mergeCell ref="C172:G172"/>
    <mergeCell ref="C212:G212"/>
    <mergeCell ref="C213:G213"/>
    <mergeCell ref="A224:B224"/>
    <mergeCell ref="A234:B234"/>
    <mergeCell ref="A241:B241"/>
    <mergeCell ref="A297:B297"/>
    <mergeCell ref="A300:B300"/>
    <mergeCell ref="A305:B305"/>
    <mergeCell ref="A325:B325"/>
    <mergeCell ref="A346:B346"/>
    <mergeCell ref="A347:B347"/>
    <mergeCell ref="A351:B351"/>
    <mergeCell ref="A357:B357"/>
    <mergeCell ref="A362:B362"/>
    <mergeCell ref="A372:B372"/>
    <mergeCell ref="A428:B428"/>
    <mergeCell ref="A433:B433"/>
    <mergeCell ref="A383:B383"/>
    <mergeCell ref="A388:B388"/>
    <mergeCell ref="A413:B413"/>
    <mergeCell ref="A416:B416"/>
    <mergeCell ref="A426:B426"/>
  </mergeCells>
  <phoneticPr fontId="3" type="noConversion"/>
  <pageMargins left="0.51181102362204722" right="0.51181102362204722" top="0.78740157480314965" bottom="0.78740157480314965" header="0.31496062992125984" footer="0.31496062992125984"/>
  <pageSetup paperSize="9" scale="47" fitToHeight="0" orientation="landscape" verticalDpi="4294967293" r:id="rId1"/>
  <ignoredErrors>
    <ignoredError sqref="H351:K351 I213:K213 H46:K46 H117:K117 H413:K413 H433:K433 I60:K60 H348:I350 H47:I49 K47:K49 H61 K61 H69:K69 H64:I65 K64:K66 H70:I70 K70 H73:I76 K73:K76 H79:I82 K79:K82 H112:I112 K112 H118:I120 K118:K120 H124:I128 K124:K133 H168:I168 K168 H190:I199 K190:K199 H215:I216 K214:K223 H234:J234 I237:I239 K237:K239 I297:K297 H298:I299 K298:K299 K306:K317 H345:I345 K345 K348:K350 H357:K357 H356:I356 K356 H362:K362 H372:K372 H363:I366 K370:K371 H373:I374 K378:K382 H384:I386 K384:K386 H414:I415 K414:K415 K434 H370:I371 I367 K156:K166 H156:I166 K173:K175 H173:I175 K177:K178 H177:I178 K182 H182:I182 K184:K188 H184:I188 H227:I229 K225:K229 K235 I235 K334:K342 H334:I342 H326:I329 K326:K329 H331:I332 K331:K332 K358:K359 H359:I359 I416:K416 H426:K429 H421:I424 K105:K109 H105:I109 H86:I87 K86:K93 H97:I98 K97:K98 H89:I93 I88 H132:I133 I131 H378:I382 I375 H214 K95 H95:I95 H102:I103 K102:K103 K352:K354 H352:I352 K363:K367 K389 H389:I389 H394:I396 K393:K396 K398:K399 H398:I399 K404 H404:I404 H417:I417 H218:I223 H217 H66 H306:H317 H358 H434:I435 H130:I130 H129 H225:H226 H319:H320 K319:K320 H353:H354 H393 H419:I419 H418 K421:K425 K417:K419 H376:I376 K373:K376" formula="1"/>
    <ignoredError sqref="F142" formulaRange="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87"/>
  <sheetViews>
    <sheetView tabSelected="1" workbookViewId="0">
      <selection activeCell="M8" sqref="M8"/>
    </sheetView>
  </sheetViews>
  <sheetFormatPr defaultRowHeight="15"/>
  <cols>
    <col min="2" max="2" width="13.5703125" bestFit="1" customWidth="1"/>
    <col min="3" max="3" width="12.85546875" bestFit="1" customWidth="1"/>
    <col min="4" max="4" width="108.7109375" customWidth="1"/>
    <col min="7" max="7" width="15.85546875" bestFit="1" customWidth="1"/>
    <col min="8" max="8" width="13.85546875" customWidth="1"/>
    <col min="9" max="9" width="13.42578125" customWidth="1"/>
    <col min="10" max="10" width="16" style="68" customWidth="1"/>
  </cols>
  <sheetData>
    <row r="1" spans="2:10" s="68" customFormat="1" ht="30.75" thickBot="1">
      <c r="B1" s="697" t="s">
        <v>1112</v>
      </c>
      <c r="C1" s="698" t="s">
        <v>1113</v>
      </c>
      <c r="D1" s="698" t="s">
        <v>2267</v>
      </c>
      <c r="E1" s="698" t="s">
        <v>2268</v>
      </c>
      <c r="F1" s="698" t="s">
        <v>2266</v>
      </c>
      <c r="G1" s="698" t="s">
        <v>2439</v>
      </c>
      <c r="H1" s="698" t="s">
        <v>2269</v>
      </c>
      <c r="I1" s="698" t="s">
        <v>2270</v>
      </c>
      <c r="J1" s="676" t="s">
        <v>2271</v>
      </c>
    </row>
    <row r="2" spans="2:10" ht="45" customHeight="1">
      <c r="B2" s="895" t="s">
        <v>1320</v>
      </c>
      <c r="C2" s="896" t="s">
        <v>342</v>
      </c>
      <c r="D2" s="699" t="s">
        <v>2499</v>
      </c>
      <c r="E2" s="896" t="s">
        <v>4</v>
      </c>
      <c r="F2" s="896">
        <v>359.71</v>
      </c>
      <c r="G2" s="913">
        <v>292852.06794216967</v>
      </c>
      <c r="H2" s="897">
        <f>G2/$G$387</f>
        <v>0.1069277209602091</v>
      </c>
      <c r="I2" s="898">
        <f>H2</f>
        <v>0.1069277209602091</v>
      </c>
      <c r="J2" s="947" t="s">
        <v>2225</v>
      </c>
    </row>
    <row r="3" spans="2:10" ht="30" customHeight="1">
      <c r="B3" s="899" t="s">
        <v>2122</v>
      </c>
      <c r="C3" s="893" t="s">
        <v>1106</v>
      </c>
      <c r="D3" s="643" t="s">
        <v>2533</v>
      </c>
      <c r="E3" s="893" t="s">
        <v>4</v>
      </c>
      <c r="F3" s="893">
        <v>847.84</v>
      </c>
      <c r="G3" s="914">
        <v>183859.49798771658</v>
      </c>
      <c r="H3" s="894">
        <f t="shared" ref="H3:H66" si="0">G3/$G$387</f>
        <v>6.7131768045417844E-2</v>
      </c>
      <c r="I3" s="900">
        <f>H3+I2</f>
        <v>0.17405948900562696</v>
      </c>
      <c r="J3" s="948"/>
    </row>
    <row r="4" spans="2:10" ht="15" customHeight="1">
      <c r="B4" s="899" t="s">
        <v>1061</v>
      </c>
      <c r="C4" s="893" t="s">
        <v>350</v>
      </c>
      <c r="D4" s="643" t="s">
        <v>103</v>
      </c>
      <c r="E4" s="893" t="s">
        <v>4</v>
      </c>
      <c r="F4" s="893">
        <v>936.4799999999999</v>
      </c>
      <c r="G4" s="914">
        <v>114511.25099996556</v>
      </c>
      <c r="H4" s="894">
        <f t="shared" si="0"/>
        <v>4.1810963397897957E-2</v>
      </c>
      <c r="I4" s="900">
        <f t="shared" ref="I4:I67" si="1">H4+I3</f>
        <v>0.21587045240352493</v>
      </c>
      <c r="J4" s="948"/>
    </row>
    <row r="5" spans="2:10" ht="30" customHeight="1">
      <c r="B5" s="899" t="s">
        <v>1323</v>
      </c>
      <c r="C5" s="893" t="s">
        <v>345</v>
      </c>
      <c r="D5" s="643" t="s">
        <v>2501</v>
      </c>
      <c r="E5" s="893" t="s">
        <v>4</v>
      </c>
      <c r="F5" s="893">
        <v>145.88999999999999</v>
      </c>
      <c r="G5" s="914">
        <v>84131.568863970664</v>
      </c>
      <c r="H5" s="894">
        <f t="shared" si="0"/>
        <v>3.0718570582905141E-2</v>
      </c>
      <c r="I5" s="900">
        <f t="shared" si="1"/>
        <v>0.24658902298643007</v>
      </c>
      <c r="J5" s="948"/>
    </row>
    <row r="6" spans="2:10" ht="30" customHeight="1">
      <c r="B6" s="899" t="s">
        <v>790</v>
      </c>
      <c r="C6" s="893" t="s">
        <v>324</v>
      </c>
      <c r="D6" s="643" t="s">
        <v>164</v>
      </c>
      <c r="E6" s="893" t="s">
        <v>13</v>
      </c>
      <c r="F6" s="893">
        <v>10370</v>
      </c>
      <c r="G6" s="914">
        <v>84098.588937157358</v>
      </c>
      <c r="H6" s="894">
        <f t="shared" si="0"/>
        <v>3.0706528774778731E-2</v>
      </c>
      <c r="I6" s="900">
        <f t="shared" si="1"/>
        <v>0.27729555176120879</v>
      </c>
      <c r="J6" s="948"/>
    </row>
    <row r="7" spans="2:10" ht="15" customHeight="1">
      <c r="B7" s="899" t="s">
        <v>713</v>
      </c>
      <c r="C7" s="893" t="s">
        <v>36</v>
      </c>
      <c r="D7" s="643" t="s">
        <v>11</v>
      </c>
      <c r="E7" s="893" t="s">
        <v>10</v>
      </c>
      <c r="F7" s="893">
        <v>5</v>
      </c>
      <c r="G7" s="914">
        <v>68879.51299586003</v>
      </c>
      <c r="H7" s="894">
        <f t="shared" si="0"/>
        <v>2.5149657973222269E-2</v>
      </c>
      <c r="I7" s="900">
        <f t="shared" si="1"/>
        <v>0.30244520973443106</v>
      </c>
      <c r="J7" s="948"/>
    </row>
    <row r="8" spans="2:10" ht="60" customHeight="1">
      <c r="B8" s="899" t="s">
        <v>1411</v>
      </c>
      <c r="C8" s="893" t="s">
        <v>282</v>
      </c>
      <c r="D8" s="643" t="s">
        <v>181</v>
      </c>
      <c r="E8" s="893" t="s">
        <v>737</v>
      </c>
      <c r="F8" s="893">
        <v>227</v>
      </c>
      <c r="G8" s="914">
        <v>63549.253946883895</v>
      </c>
      <c r="H8" s="894">
        <f t="shared" si="0"/>
        <v>2.3203445142151873E-2</v>
      </c>
      <c r="I8" s="900">
        <f t="shared" si="1"/>
        <v>0.32564865487658295</v>
      </c>
      <c r="J8" s="948"/>
    </row>
    <row r="9" spans="2:10" ht="30" customHeight="1">
      <c r="B9" s="899" t="s">
        <v>1238</v>
      </c>
      <c r="C9" s="893" t="s">
        <v>1686</v>
      </c>
      <c r="D9" s="643" t="s">
        <v>2485</v>
      </c>
      <c r="E9" s="893" t="s">
        <v>737</v>
      </c>
      <c r="F9" s="893">
        <v>1</v>
      </c>
      <c r="G9" s="914">
        <v>59282.563863072435</v>
      </c>
      <c r="H9" s="894">
        <f t="shared" si="0"/>
        <v>2.1645568327720174E-2</v>
      </c>
      <c r="I9" s="900">
        <f t="shared" si="1"/>
        <v>0.34729422320430314</v>
      </c>
      <c r="J9" s="948"/>
    </row>
    <row r="10" spans="2:10" ht="45" customHeight="1">
      <c r="B10" s="899" t="s">
        <v>2319</v>
      </c>
      <c r="C10" s="893" t="s">
        <v>239</v>
      </c>
      <c r="D10" s="643" t="s">
        <v>2337</v>
      </c>
      <c r="E10" s="893" t="s">
        <v>737</v>
      </c>
      <c r="F10" s="893">
        <v>11</v>
      </c>
      <c r="G10" s="914">
        <v>53382.89050588596</v>
      </c>
      <c r="H10" s="894">
        <f t="shared" si="0"/>
        <v>1.9491447884158242E-2</v>
      </c>
      <c r="I10" s="900">
        <f t="shared" si="1"/>
        <v>0.36678567108846138</v>
      </c>
      <c r="J10" s="948"/>
    </row>
    <row r="11" spans="2:10" ht="30" customHeight="1">
      <c r="B11" s="899" t="s">
        <v>1321</v>
      </c>
      <c r="C11" s="893" t="s">
        <v>343</v>
      </c>
      <c r="D11" s="643" t="s">
        <v>2500</v>
      </c>
      <c r="E11" s="893" t="s">
        <v>4</v>
      </c>
      <c r="F11" s="893">
        <v>37.53</v>
      </c>
      <c r="G11" s="914">
        <v>53045.905178774556</v>
      </c>
      <c r="H11" s="894">
        <f t="shared" si="0"/>
        <v>1.9368405990419016E-2</v>
      </c>
      <c r="I11" s="900">
        <f t="shared" si="1"/>
        <v>0.38615407707888039</v>
      </c>
      <c r="J11" s="948"/>
    </row>
    <row r="12" spans="2:10" ht="15" customHeight="1">
      <c r="B12" s="899" t="s">
        <v>712</v>
      </c>
      <c r="C12" s="893" t="s">
        <v>34</v>
      </c>
      <c r="D12" s="643" t="s">
        <v>2488</v>
      </c>
      <c r="E12" s="893" t="s">
        <v>10</v>
      </c>
      <c r="F12" s="893">
        <v>1.25</v>
      </c>
      <c r="G12" s="914">
        <v>36353.041674306376</v>
      </c>
      <c r="H12" s="894">
        <f t="shared" si="0"/>
        <v>1.327341795302839E-2</v>
      </c>
      <c r="I12" s="900">
        <f t="shared" si="1"/>
        <v>0.39942749503190877</v>
      </c>
      <c r="J12" s="948"/>
    </row>
    <row r="13" spans="2:10" ht="15" customHeight="1">
      <c r="B13" s="899" t="s">
        <v>2110</v>
      </c>
      <c r="C13" s="893" t="s">
        <v>35</v>
      </c>
      <c r="D13" s="643" t="s">
        <v>2486</v>
      </c>
      <c r="E13" s="893" t="s">
        <v>10</v>
      </c>
      <c r="F13" s="893">
        <v>1.25</v>
      </c>
      <c r="G13" s="914">
        <v>32647.898977406701</v>
      </c>
      <c r="H13" s="894">
        <f t="shared" si="0"/>
        <v>1.1920576338503474E-2</v>
      </c>
      <c r="I13" s="900">
        <f t="shared" si="1"/>
        <v>0.41134807137041224</v>
      </c>
      <c r="J13" s="948"/>
    </row>
    <row r="14" spans="2:10" ht="15" customHeight="1">
      <c r="B14" s="899" t="s">
        <v>2110</v>
      </c>
      <c r="C14" s="893" t="s">
        <v>35</v>
      </c>
      <c r="D14" s="643" t="s">
        <v>2487</v>
      </c>
      <c r="E14" s="893" t="s">
        <v>10</v>
      </c>
      <c r="F14" s="893">
        <v>1.25</v>
      </c>
      <c r="G14" s="914">
        <v>32647.898977406701</v>
      </c>
      <c r="H14" s="894">
        <f t="shared" si="0"/>
        <v>1.1920576338503474E-2</v>
      </c>
      <c r="I14" s="900">
        <f t="shared" si="1"/>
        <v>0.4232686477089157</v>
      </c>
      <c r="J14" s="948"/>
    </row>
    <row r="15" spans="2:10" ht="15" customHeight="1">
      <c r="B15" s="899" t="s">
        <v>717</v>
      </c>
      <c r="C15" s="893" t="s">
        <v>336</v>
      </c>
      <c r="D15" s="643" t="s">
        <v>2502</v>
      </c>
      <c r="E15" s="893" t="s">
        <v>4</v>
      </c>
      <c r="F15" s="893">
        <v>840.94</v>
      </c>
      <c r="G15" s="914">
        <v>32473.700709668501</v>
      </c>
      <c r="H15" s="894">
        <f t="shared" si="0"/>
        <v>1.1856972130770372E-2</v>
      </c>
      <c r="I15" s="900">
        <f t="shared" si="1"/>
        <v>0.43512561983968606</v>
      </c>
      <c r="J15" s="948"/>
    </row>
    <row r="16" spans="2:10" ht="15" customHeight="1">
      <c r="B16" s="899" t="s">
        <v>1057</v>
      </c>
      <c r="C16" s="893" t="s">
        <v>346</v>
      </c>
      <c r="D16" s="643" t="s">
        <v>1125</v>
      </c>
      <c r="E16" s="893" t="s">
        <v>737</v>
      </c>
      <c r="F16" s="893">
        <v>19</v>
      </c>
      <c r="G16" s="914">
        <v>32226.129445138817</v>
      </c>
      <c r="H16" s="894">
        <f t="shared" si="0"/>
        <v>1.1766577580110673E-2</v>
      </c>
      <c r="I16" s="900">
        <f t="shared" si="1"/>
        <v>0.44689219741979674</v>
      </c>
      <c r="J16" s="948"/>
    </row>
    <row r="17" spans="2:10" ht="30" customHeight="1">
      <c r="B17" s="899" t="s">
        <v>1408</v>
      </c>
      <c r="C17" s="893" t="s">
        <v>279</v>
      </c>
      <c r="D17" s="643" t="s">
        <v>170</v>
      </c>
      <c r="E17" s="893" t="s">
        <v>13</v>
      </c>
      <c r="F17" s="893">
        <v>4830</v>
      </c>
      <c r="G17" s="914">
        <v>31665.441742394811</v>
      </c>
      <c r="H17" s="894">
        <f t="shared" si="0"/>
        <v>1.1561856272707541E-2</v>
      </c>
      <c r="I17" s="900">
        <f t="shared" si="1"/>
        <v>0.4584540536925043</v>
      </c>
      <c r="J17" s="948"/>
    </row>
    <row r="18" spans="2:10" ht="45" customHeight="1">
      <c r="B18" s="899" t="s">
        <v>2331</v>
      </c>
      <c r="C18" s="893" t="s">
        <v>248</v>
      </c>
      <c r="D18" s="643" t="s">
        <v>2479</v>
      </c>
      <c r="E18" s="893" t="s">
        <v>737</v>
      </c>
      <c r="F18" s="893">
        <v>1</v>
      </c>
      <c r="G18" s="914">
        <v>31086.190155716671</v>
      </c>
      <c r="H18" s="894">
        <f t="shared" si="0"/>
        <v>1.135035682023207E-2</v>
      </c>
      <c r="I18" s="900">
        <f t="shared" si="1"/>
        <v>0.46980441051273636</v>
      </c>
      <c r="J18" s="948"/>
    </row>
    <row r="19" spans="2:10" ht="15" customHeight="1">
      <c r="B19" s="899" t="s">
        <v>2426</v>
      </c>
      <c r="C19" s="893" t="s">
        <v>1615</v>
      </c>
      <c r="D19" s="643" t="s">
        <v>1613</v>
      </c>
      <c r="E19" s="893" t="s">
        <v>737</v>
      </c>
      <c r="F19" s="893">
        <v>13</v>
      </c>
      <c r="G19" s="914">
        <v>31017.347559234982</v>
      </c>
      <c r="H19" s="894">
        <f t="shared" si="0"/>
        <v>1.1325220641414908E-2</v>
      </c>
      <c r="I19" s="900">
        <f t="shared" si="1"/>
        <v>0.48112963115415125</v>
      </c>
      <c r="J19" s="948"/>
    </row>
    <row r="20" spans="2:10" ht="15" customHeight="1">
      <c r="B20" s="899" t="s">
        <v>2179</v>
      </c>
      <c r="C20" s="893" t="s">
        <v>305</v>
      </c>
      <c r="D20" s="643" t="s">
        <v>1223</v>
      </c>
      <c r="E20" s="893" t="s">
        <v>13</v>
      </c>
      <c r="F20" s="893">
        <v>856.35</v>
      </c>
      <c r="G20" s="914">
        <v>30522.050893632171</v>
      </c>
      <c r="H20" s="894">
        <f t="shared" si="0"/>
        <v>1.1144375260932371E-2</v>
      </c>
      <c r="I20" s="900">
        <f t="shared" si="1"/>
        <v>0.49227400641508362</v>
      </c>
      <c r="J20" s="948"/>
    </row>
    <row r="21" spans="2:10" ht="30" customHeight="1">
      <c r="B21" s="899" t="s">
        <v>1409</v>
      </c>
      <c r="C21" s="893" t="s">
        <v>280</v>
      </c>
      <c r="D21" s="643" t="s">
        <v>171</v>
      </c>
      <c r="E21" s="893" t="s">
        <v>13</v>
      </c>
      <c r="F21" s="893">
        <v>3240</v>
      </c>
      <c r="G21" s="914">
        <v>29173.761149750095</v>
      </c>
      <c r="H21" s="894">
        <f t="shared" si="0"/>
        <v>1.0652080463356264E-2</v>
      </c>
      <c r="I21" s="900">
        <f t="shared" si="1"/>
        <v>0.50292608687843987</v>
      </c>
      <c r="J21" s="948"/>
    </row>
    <row r="22" spans="2:10" ht="45" customHeight="1">
      <c r="B22" s="899" t="s">
        <v>2329</v>
      </c>
      <c r="C22" s="893" t="s">
        <v>246</v>
      </c>
      <c r="D22" s="643" t="s">
        <v>2483</v>
      </c>
      <c r="E22" s="893" t="s">
        <v>737</v>
      </c>
      <c r="F22" s="893">
        <v>1</v>
      </c>
      <c r="G22" s="914">
        <v>24972.271492212614</v>
      </c>
      <c r="H22" s="894">
        <f t="shared" si="0"/>
        <v>9.1180099789808979E-3</v>
      </c>
      <c r="I22" s="900">
        <f t="shared" si="1"/>
        <v>0.51204409685742081</v>
      </c>
      <c r="J22" s="948"/>
    </row>
    <row r="23" spans="2:10" ht="45" customHeight="1">
      <c r="B23" s="899" t="s">
        <v>2330</v>
      </c>
      <c r="C23" s="893" t="s">
        <v>247</v>
      </c>
      <c r="D23" s="643" t="s">
        <v>2484</v>
      </c>
      <c r="E23" s="893" t="s">
        <v>737</v>
      </c>
      <c r="F23" s="893">
        <v>1</v>
      </c>
      <c r="G23" s="914">
        <v>24972.271492212614</v>
      </c>
      <c r="H23" s="894">
        <f t="shared" si="0"/>
        <v>9.1180099789808979E-3</v>
      </c>
      <c r="I23" s="900">
        <f t="shared" si="1"/>
        <v>0.52116210683640174</v>
      </c>
      <c r="J23" s="948"/>
    </row>
    <row r="24" spans="2:10" ht="15" customHeight="1">
      <c r="B24" s="899" t="s">
        <v>2438</v>
      </c>
      <c r="C24" s="893" t="s">
        <v>1036</v>
      </c>
      <c r="D24" s="643" t="s">
        <v>1606</v>
      </c>
      <c r="E24" s="893" t="s">
        <v>737</v>
      </c>
      <c r="F24" s="893">
        <v>5</v>
      </c>
      <c r="G24" s="914">
        <v>24433.149369748342</v>
      </c>
      <c r="H24" s="894">
        <f t="shared" si="0"/>
        <v>8.9211628121522203E-3</v>
      </c>
      <c r="I24" s="900">
        <f t="shared" si="1"/>
        <v>0.53008326964855401</v>
      </c>
      <c r="J24" s="948"/>
    </row>
    <row r="25" spans="2:10" ht="15" customHeight="1">
      <c r="B25" s="899" t="s">
        <v>714</v>
      </c>
      <c r="C25" s="893" t="s">
        <v>37</v>
      </c>
      <c r="D25" s="643" t="s">
        <v>2496</v>
      </c>
      <c r="E25" s="893" t="s">
        <v>10</v>
      </c>
      <c r="F25" s="893">
        <v>2.5</v>
      </c>
      <c r="G25" s="914">
        <v>24335.369826386181</v>
      </c>
      <c r="H25" s="894">
        <f t="shared" si="0"/>
        <v>8.8854610197704412E-3</v>
      </c>
      <c r="I25" s="900">
        <f t="shared" si="1"/>
        <v>0.5389687306683244</v>
      </c>
      <c r="J25" s="948"/>
    </row>
    <row r="26" spans="2:10" ht="15" customHeight="1">
      <c r="B26" s="899" t="s">
        <v>1494</v>
      </c>
      <c r="C26" s="893" t="s">
        <v>354</v>
      </c>
      <c r="D26" s="643" t="s">
        <v>2130</v>
      </c>
      <c r="E26" s="893" t="s">
        <v>4</v>
      </c>
      <c r="F26" s="893">
        <v>112.27999999999999</v>
      </c>
      <c r="G26" s="914">
        <v>23593.952883487986</v>
      </c>
      <c r="H26" s="894">
        <f t="shared" si="0"/>
        <v>8.6147508808854228E-3</v>
      </c>
      <c r="I26" s="900">
        <f t="shared" si="1"/>
        <v>0.54758348154920977</v>
      </c>
      <c r="J26" s="948"/>
    </row>
    <row r="27" spans="2:10" ht="15" customHeight="1">
      <c r="B27" s="899" t="s">
        <v>1054</v>
      </c>
      <c r="C27" s="893" t="s">
        <v>1105</v>
      </c>
      <c r="D27" s="643" t="s">
        <v>1131</v>
      </c>
      <c r="E27" s="893" t="s">
        <v>1130</v>
      </c>
      <c r="F27" s="893">
        <v>5135.08</v>
      </c>
      <c r="G27" s="914">
        <v>22502.622852930104</v>
      </c>
      <c r="H27" s="894">
        <f t="shared" si="0"/>
        <v>8.2162785948504367E-3</v>
      </c>
      <c r="I27" s="900">
        <f t="shared" si="1"/>
        <v>0.55579976014406018</v>
      </c>
      <c r="J27" s="948"/>
    </row>
    <row r="28" spans="2:10" ht="15" customHeight="1">
      <c r="B28" s="899" t="s">
        <v>796</v>
      </c>
      <c r="C28" s="893" t="s">
        <v>353</v>
      </c>
      <c r="D28" s="643" t="s">
        <v>390</v>
      </c>
      <c r="E28" s="893" t="s">
        <v>4</v>
      </c>
      <c r="F28" s="893">
        <v>960.12</v>
      </c>
      <c r="G28" s="914">
        <v>22311.144897357</v>
      </c>
      <c r="H28" s="894">
        <f t="shared" si="0"/>
        <v>8.1463651346265695E-3</v>
      </c>
      <c r="I28" s="900">
        <f t="shared" si="1"/>
        <v>0.56394612527868671</v>
      </c>
      <c r="J28" s="948"/>
    </row>
    <row r="29" spans="2:10" ht="15" customHeight="1">
      <c r="B29" s="899" t="s">
        <v>2358</v>
      </c>
      <c r="C29" s="893" t="s">
        <v>2272</v>
      </c>
      <c r="D29" s="643" t="s">
        <v>2273</v>
      </c>
      <c r="E29" s="893" t="s">
        <v>737</v>
      </c>
      <c r="F29" s="893">
        <v>6</v>
      </c>
      <c r="G29" s="914">
        <v>22231.076196518436</v>
      </c>
      <c r="H29" s="894">
        <f t="shared" si="0"/>
        <v>8.1171300202527042E-3</v>
      </c>
      <c r="I29" s="900">
        <f t="shared" si="1"/>
        <v>0.57206325529893942</v>
      </c>
      <c r="J29" s="948"/>
    </row>
    <row r="30" spans="2:10" ht="15" customHeight="1">
      <c r="B30" s="899" t="s">
        <v>742</v>
      </c>
      <c r="C30" s="893" t="s">
        <v>212</v>
      </c>
      <c r="D30" s="643" t="s">
        <v>1506</v>
      </c>
      <c r="E30" s="893" t="s">
        <v>13</v>
      </c>
      <c r="F30" s="893">
        <v>180</v>
      </c>
      <c r="G30" s="914">
        <v>21661.359676153756</v>
      </c>
      <c r="H30" s="894">
        <f t="shared" si="0"/>
        <v>7.9091120624351554E-3</v>
      </c>
      <c r="I30" s="900">
        <f t="shared" si="1"/>
        <v>0.57997236736137459</v>
      </c>
      <c r="J30" s="948"/>
    </row>
    <row r="31" spans="2:10" ht="45" customHeight="1">
      <c r="B31" s="899" t="s">
        <v>2326</v>
      </c>
      <c r="C31" s="893" t="s">
        <v>243</v>
      </c>
      <c r="D31" s="643" t="s">
        <v>2480</v>
      </c>
      <c r="E31" s="893" t="s">
        <v>737</v>
      </c>
      <c r="F31" s="893">
        <v>1</v>
      </c>
      <c r="G31" s="914">
        <v>21108.528182948077</v>
      </c>
      <c r="H31" s="894">
        <f t="shared" si="0"/>
        <v>7.7072592564813129E-3</v>
      </c>
      <c r="I31" s="900">
        <f t="shared" si="1"/>
        <v>0.58767962661785589</v>
      </c>
      <c r="J31" s="948"/>
    </row>
    <row r="32" spans="2:10" ht="45" customHeight="1">
      <c r="B32" s="899" t="s">
        <v>2327</v>
      </c>
      <c r="C32" s="893" t="s">
        <v>244</v>
      </c>
      <c r="D32" s="643" t="s">
        <v>2481</v>
      </c>
      <c r="E32" s="893" t="s">
        <v>737</v>
      </c>
      <c r="F32" s="893">
        <v>1</v>
      </c>
      <c r="G32" s="914">
        <v>21108.528182948077</v>
      </c>
      <c r="H32" s="894">
        <f t="shared" si="0"/>
        <v>7.7072592564813129E-3</v>
      </c>
      <c r="I32" s="900">
        <f t="shared" si="1"/>
        <v>0.59538688587433719</v>
      </c>
      <c r="J32" s="948"/>
    </row>
    <row r="33" spans="2:10" ht="45" customHeight="1">
      <c r="B33" s="899" t="s">
        <v>2328</v>
      </c>
      <c r="C33" s="893" t="s">
        <v>245</v>
      </c>
      <c r="D33" s="643" t="s">
        <v>2482</v>
      </c>
      <c r="E33" s="893" t="s">
        <v>737</v>
      </c>
      <c r="F33" s="893">
        <v>1</v>
      </c>
      <c r="G33" s="914">
        <v>21108.528182948077</v>
      </c>
      <c r="H33" s="894">
        <f t="shared" si="0"/>
        <v>7.7072592564813129E-3</v>
      </c>
      <c r="I33" s="900">
        <f t="shared" si="1"/>
        <v>0.60309414513081849</v>
      </c>
      <c r="J33" s="948"/>
    </row>
    <row r="34" spans="2:10" ht="30" customHeight="1">
      <c r="B34" s="899" t="s">
        <v>2421</v>
      </c>
      <c r="C34" s="893" t="s">
        <v>2274</v>
      </c>
      <c r="D34" s="643" t="s">
        <v>2275</v>
      </c>
      <c r="E34" s="893" t="s">
        <v>737</v>
      </c>
      <c r="F34" s="893">
        <v>6</v>
      </c>
      <c r="G34" s="914">
        <v>20842.480923995707</v>
      </c>
      <c r="H34" s="894">
        <f t="shared" si="0"/>
        <v>7.6101186514400494E-3</v>
      </c>
      <c r="I34" s="900">
        <f t="shared" si="1"/>
        <v>0.61070426378225851</v>
      </c>
      <c r="J34" s="948"/>
    </row>
    <row r="35" spans="2:10" ht="30" customHeight="1">
      <c r="B35" s="899" t="s">
        <v>1382</v>
      </c>
      <c r="C35" s="893" t="s">
        <v>1391</v>
      </c>
      <c r="D35" s="643" t="s">
        <v>2157</v>
      </c>
      <c r="E35" s="893" t="s">
        <v>737</v>
      </c>
      <c r="F35" s="893">
        <v>4</v>
      </c>
      <c r="G35" s="914">
        <v>20166.154450192349</v>
      </c>
      <c r="H35" s="894">
        <f t="shared" si="0"/>
        <v>7.3631746944551575E-3</v>
      </c>
      <c r="I35" s="900">
        <f t="shared" si="1"/>
        <v>0.61806743847671364</v>
      </c>
      <c r="J35" s="948"/>
    </row>
    <row r="36" spans="2:10" ht="15" customHeight="1">
      <c r="B36" s="899" t="s">
        <v>1058</v>
      </c>
      <c r="C36" s="893" t="s">
        <v>347</v>
      </c>
      <c r="D36" s="643" t="s">
        <v>1126</v>
      </c>
      <c r="E36" s="893" t="s">
        <v>737</v>
      </c>
      <c r="F36" s="893">
        <v>7</v>
      </c>
      <c r="G36" s="914">
        <v>18996.455251871303</v>
      </c>
      <c r="H36" s="894">
        <f t="shared" si="0"/>
        <v>6.9360878366968182E-3</v>
      </c>
      <c r="I36" s="900">
        <f t="shared" si="1"/>
        <v>0.6250035263134105</v>
      </c>
      <c r="J36" s="948"/>
    </row>
    <row r="37" spans="2:10" ht="15" customHeight="1">
      <c r="B37" s="899" t="s">
        <v>1429</v>
      </c>
      <c r="C37" s="893" t="s">
        <v>308</v>
      </c>
      <c r="D37" s="643" t="s">
        <v>793</v>
      </c>
      <c r="E37" s="893" t="s">
        <v>737</v>
      </c>
      <c r="F37" s="893">
        <v>80</v>
      </c>
      <c r="G37" s="914">
        <v>18976.780336354019</v>
      </c>
      <c r="H37" s="894">
        <f t="shared" si="0"/>
        <v>6.9289040258016764E-3</v>
      </c>
      <c r="I37" s="900">
        <f t="shared" si="1"/>
        <v>0.6319324303392122</v>
      </c>
      <c r="J37" s="948"/>
    </row>
    <row r="38" spans="2:10" ht="15" customHeight="1">
      <c r="B38" s="899" t="s">
        <v>1359</v>
      </c>
      <c r="C38" s="893" t="s">
        <v>873</v>
      </c>
      <c r="D38" s="643" t="s">
        <v>1557</v>
      </c>
      <c r="E38" s="893" t="s">
        <v>737</v>
      </c>
      <c r="F38" s="893">
        <v>59</v>
      </c>
      <c r="G38" s="914">
        <v>18042.48251437705</v>
      </c>
      <c r="H38" s="894">
        <f t="shared" si="0"/>
        <v>6.5877681837224851E-3</v>
      </c>
      <c r="I38" s="900">
        <f t="shared" si="1"/>
        <v>0.63852019852293473</v>
      </c>
      <c r="J38" s="948"/>
    </row>
    <row r="39" spans="2:10" ht="15" customHeight="1">
      <c r="B39" s="899" t="s">
        <v>2345</v>
      </c>
      <c r="C39" s="893" t="s">
        <v>240</v>
      </c>
      <c r="D39" s="643" t="s">
        <v>138</v>
      </c>
      <c r="E39" s="893" t="s">
        <v>18</v>
      </c>
      <c r="F39" s="893">
        <v>994</v>
      </c>
      <c r="G39" s="914">
        <v>17993.105595196601</v>
      </c>
      <c r="H39" s="894">
        <f t="shared" si="0"/>
        <v>6.5697394176184865E-3</v>
      </c>
      <c r="I39" s="900">
        <f t="shared" si="1"/>
        <v>0.64508993794055325</v>
      </c>
      <c r="J39" s="948"/>
    </row>
    <row r="40" spans="2:10" ht="30" customHeight="1">
      <c r="B40" s="899" t="s">
        <v>2325</v>
      </c>
      <c r="C40" s="893" t="s">
        <v>242</v>
      </c>
      <c r="D40" s="643" t="s">
        <v>2339</v>
      </c>
      <c r="E40" s="893" t="s">
        <v>737</v>
      </c>
      <c r="F40" s="893">
        <v>4</v>
      </c>
      <c r="G40" s="914">
        <v>17828.922246302587</v>
      </c>
      <c r="H40" s="894">
        <f t="shared" si="0"/>
        <v>6.5097919108782617E-3</v>
      </c>
      <c r="I40" s="900">
        <f t="shared" si="1"/>
        <v>0.65159972985143155</v>
      </c>
      <c r="J40" s="948"/>
    </row>
    <row r="41" spans="2:10" ht="30" customHeight="1">
      <c r="B41" s="899" t="s">
        <v>1327</v>
      </c>
      <c r="C41" s="893" t="s">
        <v>368</v>
      </c>
      <c r="D41" s="643" t="s">
        <v>1107</v>
      </c>
      <c r="E41" s="893" t="s">
        <v>4</v>
      </c>
      <c r="F41" s="893">
        <v>11.7</v>
      </c>
      <c r="G41" s="914">
        <v>17232.956933582045</v>
      </c>
      <c r="H41" s="894">
        <f t="shared" si="0"/>
        <v>6.2921898529234247E-3</v>
      </c>
      <c r="I41" s="900">
        <f t="shared" si="1"/>
        <v>0.65789191970435501</v>
      </c>
      <c r="J41" s="948"/>
    </row>
    <row r="42" spans="2:10" ht="15" customHeight="1">
      <c r="B42" s="899" t="s">
        <v>1154</v>
      </c>
      <c r="C42" s="893" t="s">
        <v>844</v>
      </c>
      <c r="D42" s="643" t="s">
        <v>1515</v>
      </c>
      <c r="E42" s="893" t="s">
        <v>737</v>
      </c>
      <c r="F42" s="893">
        <v>23</v>
      </c>
      <c r="G42" s="914">
        <v>16120.387872498943</v>
      </c>
      <c r="H42" s="894">
        <f t="shared" si="0"/>
        <v>5.8859626579153704E-3</v>
      </c>
      <c r="I42" s="900">
        <f t="shared" si="1"/>
        <v>0.66377788236227042</v>
      </c>
      <c r="J42" s="948"/>
    </row>
    <row r="43" spans="2:10" ht="15" customHeight="1">
      <c r="B43" s="899" t="s">
        <v>722</v>
      </c>
      <c r="C43" s="893" t="s">
        <v>361</v>
      </c>
      <c r="D43" s="643" t="s">
        <v>108</v>
      </c>
      <c r="E43" s="893" t="s">
        <v>4</v>
      </c>
      <c r="F43" s="893">
        <v>324.05</v>
      </c>
      <c r="G43" s="914">
        <v>15996.592463250687</v>
      </c>
      <c r="H43" s="894">
        <f t="shared" si="0"/>
        <v>5.8407618127607908E-3</v>
      </c>
      <c r="I43" s="900">
        <f t="shared" si="1"/>
        <v>0.66961864417503125</v>
      </c>
      <c r="J43" s="948"/>
    </row>
    <row r="44" spans="2:10" ht="15" customHeight="1">
      <c r="B44" s="899" t="s">
        <v>1416</v>
      </c>
      <c r="C44" s="893" t="s">
        <v>1042</v>
      </c>
      <c r="D44" s="643" t="s">
        <v>1043</v>
      </c>
      <c r="E44" s="893" t="s">
        <v>737</v>
      </c>
      <c r="F44" s="893">
        <v>41</v>
      </c>
      <c r="G44" s="914">
        <v>14430.74834932764</v>
      </c>
      <c r="H44" s="894">
        <f t="shared" si="0"/>
        <v>5.2690323943644264E-3</v>
      </c>
      <c r="I44" s="900">
        <f t="shared" si="1"/>
        <v>0.67488767656939563</v>
      </c>
      <c r="J44" s="948"/>
    </row>
    <row r="45" spans="2:10" ht="15" customHeight="1">
      <c r="B45" s="899" t="s">
        <v>1305</v>
      </c>
      <c r="C45" s="893" t="s">
        <v>339</v>
      </c>
      <c r="D45" s="643" t="s">
        <v>1594</v>
      </c>
      <c r="E45" s="893" t="s">
        <v>4</v>
      </c>
      <c r="F45" s="893">
        <v>51.25</v>
      </c>
      <c r="G45" s="914">
        <v>14366.437574697684</v>
      </c>
      <c r="H45" s="894">
        <f t="shared" si="0"/>
        <v>5.2455508986977307E-3</v>
      </c>
      <c r="I45" s="900">
        <f t="shared" si="1"/>
        <v>0.68013322746809335</v>
      </c>
      <c r="J45" s="948"/>
    </row>
    <row r="46" spans="2:10" ht="15" customHeight="1">
      <c r="B46" s="899" t="s">
        <v>784</v>
      </c>
      <c r="C46" s="893" t="s">
        <v>1624</v>
      </c>
      <c r="D46" s="643" t="s">
        <v>148</v>
      </c>
      <c r="E46" s="893" t="s">
        <v>737</v>
      </c>
      <c r="F46" s="893">
        <v>247</v>
      </c>
      <c r="G46" s="914">
        <v>13677.321629871445</v>
      </c>
      <c r="H46" s="894">
        <f t="shared" si="0"/>
        <v>4.9939371813168387E-3</v>
      </c>
      <c r="I46" s="900">
        <f t="shared" si="1"/>
        <v>0.68512716464941015</v>
      </c>
      <c r="J46" s="948"/>
    </row>
    <row r="47" spans="2:10" ht="30" customHeight="1">
      <c r="B47" s="899" t="s">
        <v>2424</v>
      </c>
      <c r="C47" s="893" t="s">
        <v>2277</v>
      </c>
      <c r="D47" s="643" t="s">
        <v>2278</v>
      </c>
      <c r="E47" s="893" t="s">
        <v>737</v>
      </c>
      <c r="F47" s="893">
        <v>3</v>
      </c>
      <c r="G47" s="914">
        <v>13589.235800196533</v>
      </c>
      <c r="H47" s="894">
        <f t="shared" si="0"/>
        <v>4.9617748097747416E-3</v>
      </c>
      <c r="I47" s="900">
        <f t="shared" si="1"/>
        <v>0.69008893945918492</v>
      </c>
      <c r="J47" s="948"/>
    </row>
    <row r="48" spans="2:10" ht="15" customHeight="1">
      <c r="B48" s="899" t="s">
        <v>788</v>
      </c>
      <c r="C48" s="893" t="s">
        <v>1034</v>
      </c>
      <c r="D48" s="643" t="s">
        <v>1024</v>
      </c>
      <c r="E48" s="893" t="s">
        <v>15</v>
      </c>
      <c r="F48" s="893">
        <v>190</v>
      </c>
      <c r="G48" s="914">
        <v>13382.483033673196</v>
      </c>
      <c r="H48" s="894">
        <f t="shared" si="0"/>
        <v>4.8862841284833111E-3</v>
      </c>
      <c r="I48" s="900">
        <f t="shared" si="1"/>
        <v>0.69497522358766828</v>
      </c>
      <c r="J48" s="948"/>
    </row>
    <row r="49" spans="2:10" ht="30" customHeight="1">
      <c r="B49" s="899" t="s">
        <v>2433</v>
      </c>
      <c r="C49" s="893" t="s">
        <v>260</v>
      </c>
      <c r="D49" s="643" t="s">
        <v>966</v>
      </c>
      <c r="E49" s="893" t="s">
        <v>13</v>
      </c>
      <c r="F49" s="893">
        <v>100.77</v>
      </c>
      <c r="G49" s="914">
        <v>13299.278748595892</v>
      </c>
      <c r="H49" s="894">
        <f t="shared" si="0"/>
        <v>4.8559041327402167E-3</v>
      </c>
      <c r="I49" s="900">
        <f t="shared" si="1"/>
        <v>0.69983112772040845</v>
      </c>
      <c r="J49" s="948"/>
    </row>
    <row r="50" spans="2:10" ht="30" customHeight="1">
      <c r="B50" s="899" t="s">
        <v>2419</v>
      </c>
      <c r="C50" s="893" t="s">
        <v>1038</v>
      </c>
      <c r="D50" s="643" t="s">
        <v>1608</v>
      </c>
      <c r="E50" s="893" t="s">
        <v>737</v>
      </c>
      <c r="F50" s="893">
        <v>14</v>
      </c>
      <c r="G50" s="914">
        <v>13267.23852729793</v>
      </c>
      <c r="H50" s="894">
        <f t="shared" si="0"/>
        <v>4.844205434941953E-3</v>
      </c>
      <c r="I50" s="900">
        <f t="shared" si="1"/>
        <v>0.70467533315535036</v>
      </c>
      <c r="J50" s="948"/>
    </row>
    <row r="51" spans="2:10" ht="15" customHeight="1">
      <c r="B51" s="899" t="s">
        <v>798</v>
      </c>
      <c r="C51" s="893" t="s">
        <v>357</v>
      </c>
      <c r="D51" s="643" t="s">
        <v>2131</v>
      </c>
      <c r="E51" s="893" t="s">
        <v>4</v>
      </c>
      <c r="F51" s="893">
        <v>119.72</v>
      </c>
      <c r="G51" s="914">
        <v>13121.324935950204</v>
      </c>
      <c r="H51" s="894">
        <f t="shared" si="0"/>
        <v>4.7909286802665773E-3</v>
      </c>
      <c r="I51" s="900">
        <f t="shared" si="1"/>
        <v>0.7094662618356169</v>
      </c>
      <c r="J51" s="948"/>
    </row>
    <row r="52" spans="2:10" ht="15" customHeight="1">
      <c r="B52" s="899" t="s">
        <v>707</v>
      </c>
      <c r="C52" s="893" t="s">
        <v>362</v>
      </c>
      <c r="D52" s="643" t="s">
        <v>2495</v>
      </c>
      <c r="E52" s="893" t="s">
        <v>4</v>
      </c>
      <c r="F52" s="893">
        <v>324.05</v>
      </c>
      <c r="G52" s="914">
        <v>12612.982340162558</v>
      </c>
      <c r="H52" s="894">
        <f t="shared" si="0"/>
        <v>4.6053198996405045E-3</v>
      </c>
      <c r="I52" s="900">
        <f t="shared" si="1"/>
        <v>0.71407158173525742</v>
      </c>
      <c r="J52" s="948"/>
    </row>
    <row r="53" spans="2:10" ht="30" customHeight="1">
      <c r="B53" s="899" t="s">
        <v>1276</v>
      </c>
      <c r="C53" s="893" t="s">
        <v>884</v>
      </c>
      <c r="D53" s="643" t="s">
        <v>1381</v>
      </c>
      <c r="E53" s="893" t="s">
        <v>737</v>
      </c>
      <c r="F53" s="893">
        <v>18</v>
      </c>
      <c r="G53" s="914">
        <v>12578.574362217014</v>
      </c>
      <c r="H53" s="894">
        <f t="shared" si="0"/>
        <v>4.5927566738097328E-3</v>
      </c>
      <c r="I53" s="900">
        <f t="shared" si="1"/>
        <v>0.71866433840906718</v>
      </c>
      <c r="J53" s="948"/>
    </row>
    <row r="54" spans="2:10" ht="15" customHeight="1">
      <c r="B54" s="899" t="s">
        <v>1062</v>
      </c>
      <c r="C54" s="893" t="s">
        <v>402</v>
      </c>
      <c r="D54" s="643" t="s">
        <v>2531</v>
      </c>
      <c r="E54" s="893" t="s">
        <v>4</v>
      </c>
      <c r="F54" s="893">
        <v>24.16</v>
      </c>
      <c r="G54" s="914">
        <v>11404.930736893764</v>
      </c>
      <c r="H54" s="894">
        <f t="shared" si="0"/>
        <v>4.1642296056652985E-3</v>
      </c>
      <c r="I54" s="900">
        <f t="shared" si="1"/>
        <v>0.7228285680147325</v>
      </c>
      <c r="J54" s="948"/>
    </row>
    <row r="55" spans="2:10" ht="15" customHeight="1">
      <c r="B55" s="899" t="s">
        <v>1145</v>
      </c>
      <c r="C55" s="893" t="s">
        <v>1146</v>
      </c>
      <c r="D55" s="643" t="s">
        <v>2494</v>
      </c>
      <c r="E55" s="893" t="s">
        <v>4</v>
      </c>
      <c r="F55" s="893">
        <v>303.90999999999997</v>
      </c>
      <c r="G55" s="914">
        <v>11348.245768511288</v>
      </c>
      <c r="H55" s="894">
        <f t="shared" si="0"/>
        <v>4.14353248536005E-3</v>
      </c>
      <c r="I55" s="900">
        <f t="shared" si="1"/>
        <v>0.72697210050009253</v>
      </c>
      <c r="J55" s="948"/>
    </row>
    <row r="56" spans="2:10" ht="15" customHeight="1">
      <c r="B56" s="899" t="s">
        <v>789</v>
      </c>
      <c r="C56" s="893" t="s">
        <v>323</v>
      </c>
      <c r="D56" s="643" t="s">
        <v>2446</v>
      </c>
      <c r="E56" s="893" t="s">
        <v>737</v>
      </c>
      <c r="F56" s="893">
        <v>187</v>
      </c>
      <c r="G56" s="914">
        <v>11167.473999630331</v>
      </c>
      <c r="H56" s="894">
        <f t="shared" si="0"/>
        <v>4.0775281255608789E-3</v>
      </c>
      <c r="I56" s="900">
        <f t="shared" si="1"/>
        <v>0.73104962862565337</v>
      </c>
      <c r="J56" s="948"/>
    </row>
    <row r="57" spans="2:10" ht="15" customHeight="1">
      <c r="B57" s="899" t="s">
        <v>2179</v>
      </c>
      <c r="C57" s="893" t="s">
        <v>1027</v>
      </c>
      <c r="D57" s="643" t="s">
        <v>1605</v>
      </c>
      <c r="E57" s="893" t="s">
        <v>13</v>
      </c>
      <c r="F57" s="893">
        <v>310</v>
      </c>
      <c r="G57" s="914">
        <v>11049.028758131575</v>
      </c>
      <c r="H57" s="894">
        <f t="shared" si="0"/>
        <v>4.0342807624091032E-3</v>
      </c>
      <c r="I57" s="900">
        <f t="shared" si="1"/>
        <v>0.73508390938806245</v>
      </c>
      <c r="J57" s="948"/>
    </row>
    <row r="58" spans="2:10" ht="30" customHeight="1">
      <c r="B58" s="899" t="s">
        <v>1358</v>
      </c>
      <c r="C58" s="893" t="s">
        <v>872</v>
      </c>
      <c r="D58" s="643" t="s">
        <v>1554</v>
      </c>
      <c r="E58" s="893" t="s">
        <v>737</v>
      </c>
      <c r="F58" s="893">
        <v>1</v>
      </c>
      <c r="G58" s="914">
        <v>10866.233774843593</v>
      </c>
      <c r="H58" s="894">
        <f t="shared" si="0"/>
        <v>3.9675376756920129E-3</v>
      </c>
      <c r="I58" s="900">
        <f t="shared" si="1"/>
        <v>0.73905144706375447</v>
      </c>
      <c r="J58" s="948"/>
    </row>
    <row r="59" spans="2:10" ht="30" customHeight="1">
      <c r="B59" s="899" t="s">
        <v>725</v>
      </c>
      <c r="C59" s="893" t="s">
        <v>366</v>
      </c>
      <c r="D59" s="643" t="s">
        <v>827</v>
      </c>
      <c r="E59" s="893" t="s">
        <v>737</v>
      </c>
      <c r="F59" s="893">
        <v>9</v>
      </c>
      <c r="G59" s="914">
        <v>10795.185215808178</v>
      </c>
      <c r="H59" s="894">
        <f t="shared" si="0"/>
        <v>3.9415960439714405E-3</v>
      </c>
      <c r="I59" s="900">
        <f t="shared" si="1"/>
        <v>0.74299304310772596</v>
      </c>
      <c r="J59" s="948"/>
    </row>
    <row r="60" spans="2:10" ht="15" customHeight="1">
      <c r="B60" s="899" t="s">
        <v>743</v>
      </c>
      <c r="C60" s="893" t="s">
        <v>209</v>
      </c>
      <c r="D60" s="643" t="s">
        <v>1503</v>
      </c>
      <c r="E60" s="893" t="s">
        <v>13</v>
      </c>
      <c r="F60" s="893">
        <v>42</v>
      </c>
      <c r="G60" s="914">
        <v>10596.187246879512</v>
      </c>
      <c r="H60" s="894">
        <f t="shared" si="0"/>
        <v>3.8689368360553989E-3</v>
      </c>
      <c r="I60" s="900">
        <f t="shared" si="1"/>
        <v>0.74686197994378134</v>
      </c>
      <c r="J60" s="948"/>
    </row>
    <row r="61" spans="2:10" ht="15" customHeight="1">
      <c r="B61" s="899" t="s">
        <v>2179</v>
      </c>
      <c r="C61" s="893" t="s">
        <v>863</v>
      </c>
      <c r="D61" s="643" t="s">
        <v>1120</v>
      </c>
      <c r="E61" s="893" t="s">
        <v>13</v>
      </c>
      <c r="F61" s="893">
        <v>295</v>
      </c>
      <c r="G61" s="914">
        <v>10514.398334351014</v>
      </c>
      <c r="H61" s="894">
        <f t="shared" si="0"/>
        <v>3.8390736287441459E-3</v>
      </c>
      <c r="I61" s="900">
        <f t="shared" si="1"/>
        <v>0.75070105357252548</v>
      </c>
      <c r="J61" s="948"/>
    </row>
    <row r="62" spans="2:10" ht="30" customHeight="1">
      <c r="B62" s="899" t="s">
        <v>1534</v>
      </c>
      <c r="C62" s="893" t="s">
        <v>1055</v>
      </c>
      <c r="D62" s="643" t="s">
        <v>2504</v>
      </c>
      <c r="E62" s="893" t="s">
        <v>4</v>
      </c>
      <c r="F62" s="893">
        <v>961.8</v>
      </c>
      <c r="G62" s="914">
        <v>10497.076811089823</v>
      </c>
      <c r="H62" s="894">
        <f t="shared" si="0"/>
        <v>3.8327491010776921E-3</v>
      </c>
      <c r="I62" s="900">
        <f t="shared" si="1"/>
        <v>0.75453380267360315</v>
      </c>
      <c r="J62" s="948"/>
    </row>
    <row r="63" spans="2:10" ht="15" customHeight="1">
      <c r="B63" s="899" t="s">
        <v>788</v>
      </c>
      <c r="C63" s="893" t="s">
        <v>868</v>
      </c>
      <c r="D63" s="643" t="s">
        <v>745</v>
      </c>
      <c r="E63" s="893" t="s">
        <v>737</v>
      </c>
      <c r="F63" s="893">
        <v>145</v>
      </c>
      <c r="G63" s="914">
        <v>10212.947578329546</v>
      </c>
      <c r="H63" s="894">
        <f t="shared" si="0"/>
        <v>3.7290063085793695E-3</v>
      </c>
      <c r="I63" s="900">
        <f t="shared" si="1"/>
        <v>0.75826280898218257</v>
      </c>
      <c r="J63" s="948"/>
    </row>
    <row r="64" spans="2:10" ht="15" customHeight="1">
      <c r="B64" s="899" t="s">
        <v>1059</v>
      </c>
      <c r="C64" s="893" t="s">
        <v>348</v>
      </c>
      <c r="D64" s="643" t="s">
        <v>1127</v>
      </c>
      <c r="E64" s="893" t="s">
        <v>737</v>
      </c>
      <c r="F64" s="893">
        <v>2</v>
      </c>
      <c r="G64" s="914">
        <v>10176.672456359627</v>
      </c>
      <c r="H64" s="894">
        <f t="shared" si="0"/>
        <v>3.7157613410875815E-3</v>
      </c>
      <c r="I64" s="900">
        <f t="shared" si="1"/>
        <v>0.7619785703232701</v>
      </c>
      <c r="J64" s="948"/>
    </row>
    <row r="65" spans="2:10" ht="15" customHeight="1">
      <c r="B65" s="899" t="s">
        <v>1652</v>
      </c>
      <c r="C65" s="893" t="s">
        <v>327</v>
      </c>
      <c r="D65" s="643" t="s">
        <v>1640</v>
      </c>
      <c r="E65" s="893" t="s">
        <v>737</v>
      </c>
      <c r="F65" s="893">
        <v>4</v>
      </c>
      <c r="G65" s="914">
        <v>10164.19407769074</v>
      </c>
      <c r="H65" s="894">
        <f t="shared" si="0"/>
        <v>3.7112051684038147E-3</v>
      </c>
      <c r="I65" s="900">
        <f t="shared" si="1"/>
        <v>0.76568977549167394</v>
      </c>
      <c r="J65" s="948"/>
    </row>
    <row r="66" spans="2:10" ht="15" customHeight="1">
      <c r="B66" s="899" t="s">
        <v>2404</v>
      </c>
      <c r="C66" s="893" t="s">
        <v>955</v>
      </c>
      <c r="D66" s="643" t="s">
        <v>1016</v>
      </c>
      <c r="E66" s="893" t="s">
        <v>737</v>
      </c>
      <c r="F66" s="893">
        <v>16</v>
      </c>
      <c r="G66" s="914">
        <v>10153.432194282987</v>
      </c>
      <c r="H66" s="894">
        <f t="shared" si="0"/>
        <v>3.7072757316949788E-3</v>
      </c>
      <c r="I66" s="900">
        <f t="shared" si="1"/>
        <v>0.76939705122336888</v>
      </c>
      <c r="J66" s="948"/>
    </row>
    <row r="67" spans="2:10" ht="15" customHeight="1">
      <c r="B67" s="899" t="s">
        <v>1571</v>
      </c>
      <c r="C67" s="893" t="s">
        <v>1572</v>
      </c>
      <c r="D67" s="643" t="s">
        <v>2165</v>
      </c>
      <c r="E67" s="893" t="s">
        <v>737</v>
      </c>
      <c r="F67" s="893">
        <v>14</v>
      </c>
      <c r="G67" s="914">
        <v>9923.954404704742</v>
      </c>
      <c r="H67" s="894">
        <f t="shared" ref="H67:H130" si="2">G67/$G$387</f>
        <v>3.6234875678516775E-3</v>
      </c>
      <c r="I67" s="900">
        <f t="shared" si="1"/>
        <v>0.77302053879122057</v>
      </c>
      <c r="J67" s="948"/>
    </row>
    <row r="68" spans="2:10" ht="45" customHeight="1">
      <c r="B68" s="899" t="s">
        <v>1402</v>
      </c>
      <c r="C68" s="893" t="s">
        <v>275</v>
      </c>
      <c r="D68" s="643" t="s">
        <v>1618</v>
      </c>
      <c r="E68" s="893" t="s">
        <v>737</v>
      </c>
      <c r="F68" s="893">
        <v>1</v>
      </c>
      <c r="G68" s="914">
        <v>9882.0214885192618</v>
      </c>
      <c r="H68" s="894">
        <f t="shared" si="2"/>
        <v>3.6081767961284802E-3</v>
      </c>
      <c r="I68" s="900">
        <f t="shared" ref="I68:I131" si="3">H68+I67</f>
        <v>0.77662871558734903</v>
      </c>
      <c r="J68" s="948"/>
    </row>
    <row r="69" spans="2:10" ht="15" customHeight="1">
      <c r="B69" s="899" t="s">
        <v>1150</v>
      </c>
      <c r="C69" s="893" t="s">
        <v>210</v>
      </c>
      <c r="D69" s="643" t="s">
        <v>1504</v>
      </c>
      <c r="E69" s="893" t="s">
        <v>13</v>
      </c>
      <c r="F69" s="893">
        <v>60</v>
      </c>
      <c r="G69" s="914">
        <v>9636.8398555387976</v>
      </c>
      <c r="H69" s="894">
        <f t="shared" si="2"/>
        <v>3.5186547605829412E-3</v>
      </c>
      <c r="I69" s="900">
        <f t="shared" si="3"/>
        <v>0.78014737034793202</v>
      </c>
      <c r="J69" s="948"/>
    </row>
    <row r="70" spans="2:10" ht="15" customHeight="1">
      <c r="B70" s="899" t="s">
        <v>1153</v>
      </c>
      <c r="C70" s="893" t="s">
        <v>843</v>
      </c>
      <c r="D70" s="643" t="s">
        <v>1514</v>
      </c>
      <c r="E70" s="893" t="s">
        <v>737</v>
      </c>
      <c r="F70" s="893">
        <v>23</v>
      </c>
      <c r="G70" s="914">
        <v>9548.3969641277745</v>
      </c>
      <c r="H70" s="894">
        <f t="shared" si="2"/>
        <v>3.4863620167407518E-3</v>
      </c>
      <c r="I70" s="900">
        <f t="shared" si="3"/>
        <v>0.78363373236467282</v>
      </c>
      <c r="J70" s="948"/>
    </row>
    <row r="71" spans="2:10" ht="30" customHeight="1">
      <c r="B71" s="899" t="s">
        <v>1096</v>
      </c>
      <c r="C71" s="893" t="s">
        <v>206</v>
      </c>
      <c r="D71" s="643" t="s">
        <v>834</v>
      </c>
      <c r="E71" s="893" t="s">
        <v>737</v>
      </c>
      <c r="F71" s="893">
        <v>4</v>
      </c>
      <c r="G71" s="914">
        <v>9519.7188347905831</v>
      </c>
      <c r="H71" s="894">
        <f t="shared" si="2"/>
        <v>3.4758909040285358E-3</v>
      </c>
      <c r="I71" s="900">
        <f t="shared" si="3"/>
        <v>0.78710962326870137</v>
      </c>
      <c r="J71" s="948"/>
    </row>
    <row r="72" spans="2:10" ht="15" customHeight="1">
      <c r="B72" s="899" t="s">
        <v>715</v>
      </c>
      <c r="C72" s="893" t="s">
        <v>39</v>
      </c>
      <c r="D72" s="643" t="s">
        <v>398</v>
      </c>
      <c r="E72" s="893" t="s">
        <v>4</v>
      </c>
      <c r="F72" s="893">
        <v>707.32</v>
      </c>
      <c r="G72" s="914">
        <v>9292.4507529139264</v>
      </c>
      <c r="H72" s="894">
        <f t="shared" si="2"/>
        <v>3.3929095605371592E-3</v>
      </c>
      <c r="I72" s="900">
        <f t="shared" si="3"/>
        <v>0.79050253282923855</v>
      </c>
      <c r="J72" s="948"/>
    </row>
    <row r="73" spans="2:10" ht="15" customHeight="1">
      <c r="B73" s="899" t="s">
        <v>1660</v>
      </c>
      <c r="C73" s="893" t="s">
        <v>304</v>
      </c>
      <c r="D73" s="643" t="s">
        <v>1627</v>
      </c>
      <c r="E73" s="893" t="s">
        <v>737</v>
      </c>
      <c r="F73" s="893">
        <v>173</v>
      </c>
      <c r="G73" s="914">
        <v>9272.1731131807246</v>
      </c>
      <c r="H73" s="894">
        <f t="shared" si="2"/>
        <v>3.385505679737002E-3</v>
      </c>
      <c r="I73" s="900">
        <f t="shared" si="3"/>
        <v>0.7938880385089756</v>
      </c>
      <c r="J73" s="948"/>
    </row>
    <row r="74" spans="2:10" ht="15" customHeight="1" thickBot="1">
      <c r="B74" s="905" t="s">
        <v>786</v>
      </c>
      <c r="C74" s="906" t="s">
        <v>301</v>
      </c>
      <c r="D74" s="701" t="s">
        <v>186</v>
      </c>
      <c r="E74" s="906" t="s">
        <v>737</v>
      </c>
      <c r="F74" s="906">
        <v>159</v>
      </c>
      <c r="G74" s="915">
        <v>8912.3829059677737</v>
      </c>
      <c r="H74" s="907">
        <f t="shared" si="2"/>
        <v>3.2541371456118501E-3</v>
      </c>
      <c r="I74" s="908">
        <f t="shared" si="3"/>
        <v>0.79714217565458745</v>
      </c>
      <c r="J74" s="948"/>
    </row>
    <row r="75" spans="2:10" ht="30.75" customHeight="1">
      <c r="B75" s="895" t="s">
        <v>2332</v>
      </c>
      <c r="C75" s="896" t="s">
        <v>249</v>
      </c>
      <c r="D75" s="699" t="s">
        <v>2340</v>
      </c>
      <c r="E75" s="896" t="s">
        <v>737</v>
      </c>
      <c r="F75" s="896">
        <v>1</v>
      </c>
      <c r="G75" s="913">
        <v>8844.5071316506856</v>
      </c>
      <c r="H75" s="897">
        <f t="shared" si="2"/>
        <v>3.2293539780995448E-3</v>
      </c>
      <c r="I75" s="898">
        <f t="shared" si="3"/>
        <v>0.80037152963268698</v>
      </c>
      <c r="J75" s="949" t="s">
        <v>2247</v>
      </c>
    </row>
    <row r="76" spans="2:10" ht="30" customHeight="1">
      <c r="B76" s="899" t="s">
        <v>1427</v>
      </c>
      <c r="C76" s="893" t="s">
        <v>2445</v>
      </c>
      <c r="D76" s="643" t="s">
        <v>1626</v>
      </c>
      <c r="E76" s="893" t="s">
        <v>737</v>
      </c>
      <c r="F76" s="893">
        <v>23</v>
      </c>
      <c r="G76" s="914">
        <v>8486.0405955878596</v>
      </c>
      <c r="H76" s="894">
        <f t="shared" si="2"/>
        <v>3.0984687498987057E-3</v>
      </c>
      <c r="I76" s="900">
        <f t="shared" si="3"/>
        <v>0.8034699983825857</v>
      </c>
      <c r="J76" s="949"/>
    </row>
    <row r="77" spans="2:10" ht="15" customHeight="1">
      <c r="B77" s="899" t="s">
        <v>2341</v>
      </c>
      <c r="C77" s="893" t="s">
        <v>250</v>
      </c>
      <c r="D77" s="643" t="s">
        <v>137</v>
      </c>
      <c r="E77" s="893" t="s">
        <v>18</v>
      </c>
      <c r="F77" s="893">
        <v>467</v>
      </c>
      <c r="G77" s="914">
        <v>8408.6646474158551</v>
      </c>
      <c r="H77" s="894">
        <f t="shared" si="2"/>
        <v>3.0702168278504667E-3</v>
      </c>
      <c r="I77" s="900">
        <f t="shared" si="3"/>
        <v>0.80654021521043617</v>
      </c>
      <c r="J77" s="949"/>
    </row>
    <row r="78" spans="2:10" ht="45" customHeight="1">
      <c r="B78" s="899" t="s">
        <v>1403</v>
      </c>
      <c r="C78" s="893" t="s">
        <v>276</v>
      </c>
      <c r="D78" s="643" t="s">
        <v>1617</v>
      </c>
      <c r="E78" s="893" t="s">
        <v>737</v>
      </c>
      <c r="F78" s="893">
        <v>1</v>
      </c>
      <c r="G78" s="914">
        <v>8121.6397075157574</v>
      </c>
      <c r="H78" s="894">
        <f t="shared" si="2"/>
        <v>2.9654167391984752E-3</v>
      </c>
      <c r="I78" s="900">
        <f t="shared" si="3"/>
        <v>0.80950563194963465</v>
      </c>
      <c r="J78" s="949"/>
    </row>
    <row r="79" spans="2:10" ht="30" customHeight="1">
      <c r="B79" s="899" t="s">
        <v>1389</v>
      </c>
      <c r="C79" s="893" t="s">
        <v>1398</v>
      </c>
      <c r="D79" s="643" t="s">
        <v>2164</v>
      </c>
      <c r="E79" s="893" t="s">
        <v>737</v>
      </c>
      <c r="F79" s="893">
        <v>1</v>
      </c>
      <c r="G79" s="914">
        <v>7913.8168818042859</v>
      </c>
      <c r="H79" s="894">
        <f t="shared" si="2"/>
        <v>2.8895353521453141E-3</v>
      </c>
      <c r="I79" s="900">
        <f t="shared" si="3"/>
        <v>0.81239516730177996</v>
      </c>
      <c r="J79" s="949"/>
    </row>
    <row r="80" spans="2:10" ht="45" customHeight="1">
      <c r="B80" s="899" t="s">
        <v>1245</v>
      </c>
      <c r="C80" s="893" t="s">
        <v>1050</v>
      </c>
      <c r="D80" s="643" t="s">
        <v>1567</v>
      </c>
      <c r="E80" s="893" t="s">
        <v>737</v>
      </c>
      <c r="F80" s="893">
        <v>14</v>
      </c>
      <c r="G80" s="914">
        <v>7776.1304912600726</v>
      </c>
      <c r="H80" s="894">
        <f t="shared" si="2"/>
        <v>2.8392625572438374E-3</v>
      </c>
      <c r="I80" s="900">
        <f t="shared" si="3"/>
        <v>0.81523442985902383</v>
      </c>
      <c r="J80" s="949"/>
    </row>
    <row r="81" spans="2:10" ht="30" customHeight="1">
      <c r="B81" s="899" t="s">
        <v>2427</v>
      </c>
      <c r="C81" s="893" t="s">
        <v>1039</v>
      </c>
      <c r="D81" s="643" t="s">
        <v>1609</v>
      </c>
      <c r="E81" s="893" t="s">
        <v>737</v>
      </c>
      <c r="F81" s="893">
        <v>14</v>
      </c>
      <c r="G81" s="914">
        <v>7736.5725741608885</v>
      </c>
      <c r="H81" s="894">
        <f t="shared" si="2"/>
        <v>2.8248189579512966E-3</v>
      </c>
      <c r="I81" s="900">
        <f t="shared" si="3"/>
        <v>0.81805924881697512</v>
      </c>
      <c r="J81" s="949"/>
    </row>
    <row r="82" spans="2:10" ht="15" customHeight="1">
      <c r="B82" s="899" t="s">
        <v>1575</v>
      </c>
      <c r="C82" s="893" t="s">
        <v>775</v>
      </c>
      <c r="D82" s="643" t="s">
        <v>2106</v>
      </c>
      <c r="E82" s="893" t="s">
        <v>4</v>
      </c>
      <c r="F82" s="893">
        <v>981.8</v>
      </c>
      <c r="G82" s="914">
        <v>7660.3942983557681</v>
      </c>
      <c r="H82" s="894">
        <f t="shared" si="2"/>
        <v>2.7970043364744616E-3</v>
      </c>
      <c r="I82" s="900">
        <f t="shared" si="3"/>
        <v>0.82085625315344957</v>
      </c>
      <c r="J82" s="949"/>
    </row>
    <row r="83" spans="2:10" ht="15" customHeight="1">
      <c r="B83" s="899" t="s">
        <v>1151</v>
      </c>
      <c r="C83" s="893" t="s">
        <v>211</v>
      </c>
      <c r="D83" s="643" t="s">
        <v>1505</v>
      </c>
      <c r="E83" s="893" t="s">
        <v>13</v>
      </c>
      <c r="F83" s="893">
        <v>58</v>
      </c>
      <c r="G83" s="914">
        <v>7647.7951352723912</v>
      </c>
      <c r="H83" s="894">
        <f t="shared" si="2"/>
        <v>2.7924040623361294E-3</v>
      </c>
      <c r="I83" s="900">
        <f t="shared" si="3"/>
        <v>0.82364865721578573</v>
      </c>
      <c r="J83" s="949"/>
    </row>
    <row r="84" spans="2:10" ht="15" customHeight="1">
      <c r="B84" s="899" t="s">
        <v>2357</v>
      </c>
      <c r="C84" s="893" t="s">
        <v>259</v>
      </c>
      <c r="D84" s="643" t="s">
        <v>2449</v>
      </c>
      <c r="E84" s="893" t="s">
        <v>737</v>
      </c>
      <c r="F84" s="893">
        <v>24</v>
      </c>
      <c r="G84" s="914">
        <v>7585.742482015422</v>
      </c>
      <c r="H84" s="894">
        <f t="shared" si="2"/>
        <v>2.7697470640812563E-3</v>
      </c>
      <c r="I84" s="900">
        <f t="shared" si="3"/>
        <v>0.82641840427986701</v>
      </c>
      <c r="J84" s="949"/>
    </row>
    <row r="85" spans="2:10" ht="15" customHeight="1">
      <c r="B85" s="899" t="s">
        <v>1060</v>
      </c>
      <c r="C85" s="893" t="s">
        <v>349</v>
      </c>
      <c r="D85" s="643" t="s">
        <v>1128</v>
      </c>
      <c r="E85" s="893" t="s">
        <v>737</v>
      </c>
      <c r="F85" s="893">
        <v>1</v>
      </c>
      <c r="G85" s="914">
        <v>7123.6707194517385</v>
      </c>
      <c r="H85" s="894">
        <f t="shared" si="2"/>
        <v>2.6010329387613066E-3</v>
      </c>
      <c r="I85" s="900">
        <f t="shared" si="3"/>
        <v>0.82901943721862836</v>
      </c>
      <c r="J85" s="949"/>
    </row>
    <row r="86" spans="2:10" ht="30" customHeight="1">
      <c r="B86" s="899" t="s">
        <v>1419</v>
      </c>
      <c r="C86" s="893" t="s">
        <v>292</v>
      </c>
      <c r="D86" s="643" t="s">
        <v>173</v>
      </c>
      <c r="E86" s="893" t="s">
        <v>13</v>
      </c>
      <c r="F86" s="893">
        <v>60</v>
      </c>
      <c r="G86" s="914">
        <v>7090.5208126241505</v>
      </c>
      <c r="H86" s="894">
        <f t="shared" si="2"/>
        <v>2.5889290666185386E-3</v>
      </c>
      <c r="I86" s="900">
        <f t="shared" si="3"/>
        <v>0.83160836628524692</v>
      </c>
      <c r="J86" s="949"/>
    </row>
    <row r="87" spans="2:10" ht="30" customHeight="1">
      <c r="B87" s="899" t="s">
        <v>1148</v>
      </c>
      <c r="C87" s="893" t="s">
        <v>352</v>
      </c>
      <c r="D87" s="643" t="s">
        <v>2532</v>
      </c>
      <c r="E87" s="893" t="s">
        <v>4</v>
      </c>
      <c r="F87" s="893">
        <v>179</v>
      </c>
      <c r="G87" s="914">
        <v>6861.3091257790511</v>
      </c>
      <c r="H87" s="894">
        <f t="shared" si="2"/>
        <v>2.5052380636353139E-3</v>
      </c>
      <c r="I87" s="900">
        <f t="shared" si="3"/>
        <v>0.83411360434888226</v>
      </c>
      <c r="J87" s="949"/>
    </row>
    <row r="88" spans="2:10" ht="30" customHeight="1">
      <c r="B88" s="899" t="s">
        <v>2428</v>
      </c>
      <c r="C88" s="893" t="s">
        <v>1037</v>
      </c>
      <c r="D88" s="643" t="s">
        <v>1607</v>
      </c>
      <c r="E88" s="893" t="s">
        <v>737</v>
      </c>
      <c r="F88" s="893">
        <v>5</v>
      </c>
      <c r="G88" s="914">
        <v>6603.4619305239776</v>
      </c>
      <c r="H88" s="894">
        <f t="shared" si="2"/>
        <v>2.4110915099218823E-3</v>
      </c>
      <c r="I88" s="900">
        <f t="shared" si="3"/>
        <v>0.83652469585880418</v>
      </c>
      <c r="J88" s="949"/>
    </row>
    <row r="89" spans="2:10" ht="15" customHeight="1">
      <c r="B89" s="899" t="s">
        <v>2425</v>
      </c>
      <c r="C89" s="893" t="s">
        <v>2277</v>
      </c>
      <c r="D89" s="643" t="s">
        <v>1612</v>
      </c>
      <c r="E89" s="893" t="s">
        <v>737</v>
      </c>
      <c r="F89" s="893">
        <v>4</v>
      </c>
      <c r="G89" s="914">
        <v>6517.3237900234926</v>
      </c>
      <c r="H89" s="894">
        <f t="shared" si="2"/>
        <v>2.3796402891188726E-3</v>
      </c>
      <c r="I89" s="900">
        <f t="shared" si="3"/>
        <v>0.83890433614792304</v>
      </c>
      <c r="J89" s="949"/>
    </row>
    <row r="90" spans="2:10" ht="30" customHeight="1">
      <c r="B90" s="899" t="s">
        <v>1648</v>
      </c>
      <c r="C90" s="893" t="s">
        <v>281</v>
      </c>
      <c r="D90" s="643" t="s">
        <v>1622</v>
      </c>
      <c r="E90" s="893" t="s">
        <v>13</v>
      </c>
      <c r="F90" s="893">
        <v>363</v>
      </c>
      <c r="G90" s="914">
        <v>6353.3429373787985</v>
      </c>
      <c r="H90" s="894">
        <f t="shared" si="2"/>
        <v>2.3197667188975023E-3</v>
      </c>
      <c r="I90" s="900">
        <f t="shared" si="3"/>
        <v>0.84122410286682059</v>
      </c>
      <c r="J90" s="949"/>
    </row>
    <row r="91" spans="2:10" ht="15" customHeight="1">
      <c r="B91" s="899" t="s">
        <v>1063</v>
      </c>
      <c r="C91" s="893" t="s">
        <v>359</v>
      </c>
      <c r="D91" s="643" t="s">
        <v>2489</v>
      </c>
      <c r="E91" s="893" t="s">
        <v>4</v>
      </c>
      <c r="F91" s="893">
        <v>458.03</v>
      </c>
      <c r="G91" s="914">
        <v>6195.7996489026873</v>
      </c>
      <c r="H91" s="894">
        <f t="shared" si="2"/>
        <v>2.2622436667036078E-3</v>
      </c>
      <c r="I91" s="900">
        <f t="shared" si="3"/>
        <v>0.84348634653352417</v>
      </c>
      <c r="J91" s="949"/>
    </row>
    <row r="92" spans="2:10" ht="30" customHeight="1">
      <c r="B92" s="899" t="s">
        <v>2434</v>
      </c>
      <c r="C92" s="893" t="s">
        <v>261</v>
      </c>
      <c r="D92" s="643" t="s">
        <v>967</v>
      </c>
      <c r="E92" s="893" t="s">
        <v>13</v>
      </c>
      <c r="F92" s="893">
        <v>40.549999999999997</v>
      </c>
      <c r="G92" s="914">
        <v>6178.9560615810069</v>
      </c>
      <c r="H92" s="894">
        <f t="shared" si="2"/>
        <v>2.2560936455760221E-3</v>
      </c>
      <c r="I92" s="900">
        <f t="shared" si="3"/>
        <v>0.84574244017910016</v>
      </c>
      <c r="J92" s="949"/>
    </row>
    <row r="93" spans="2:10" ht="45" customHeight="1">
      <c r="B93" s="899" t="s">
        <v>2322</v>
      </c>
      <c r="C93" s="893" t="s">
        <v>241</v>
      </c>
      <c r="D93" s="643" t="s">
        <v>2338</v>
      </c>
      <c r="E93" s="893" t="s">
        <v>737</v>
      </c>
      <c r="F93" s="893">
        <v>1</v>
      </c>
      <c r="G93" s="914">
        <v>6153.3426376355847</v>
      </c>
      <c r="H93" s="894">
        <f t="shared" si="2"/>
        <v>2.2467415345674958E-3</v>
      </c>
      <c r="I93" s="900">
        <f t="shared" si="3"/>
        <v>0.84798918171366766</v>
      </c>
      <c r="J93" s="949"/>
    </row>
    <row r="94" spans="2:10" ht="15" customHeight="1">
      <c r="B94" s="899" t="s">
        <v>1228</v>
      </c>
      <c r="C94" s="893" t="s">
        <v>328</v>
      </c>
      <c r="D94" s="643" t="s">
        <v>1642</v>
      </c>
      <c r="E94" s="893" t="s">
        <v>737</v>
      </c>
      <c r="F94" s="893">
        <v>187</v>
      </c>
      <c r="G94" s="914">
        <v>6121.458139170958</v>
      </c>
      <c r="H94" s="894">
        <f t="shared" si="2"/>
        <v>2.2350996951270618E-3</v>
      </c>
      <c r="I94" s="900">
        <f t="shared" si="3"/>
        <v>0.85022428140879469</v>
      </c>
      <c r="J94" s="949"/>
    </row>
    <row r="95" spans="2:10" ht="15" customHeight="1">
      <c r="B95" s="899" t="s">
        <v>1667</v>
      </c>
      <c r="C95" s="893" t="s">
        <v>315</v>
      </c>
      <c r="D95" s="643" t="s">
        <v>1631</v>
      </c>
      <c r="E95" s="893" t="s">
        <v>737</v>
      </c>
      <c r="F95" s="893">
        <v>45</v>
      </c>
      <c r="G95" s="914">
        <v>6016.599556160154</v>
      </c>
      <c r="H95" s="894">
        <f t="shared" si="2"/>
        <v>2.196813165742962E-3</v>
      </c>
      <c r="I95" s="900">
        <f t="shared" si="3"/>
        <v>0.85242109457453763</v>
      </c>
      <c r="J95" s="949"/>
    </row>
    <row r="96" spans="2:10" ht="30" customHeight="1">
      <c r="B96" s="899" t="s">
        <v>1249</v>
      </c>
      <c r="C96" s="893" t="s">
        <v>1573</v>
      </c>
      <c r="D96" s="643" t="s">
        <v>2166</v>
      </c>
      <c r="E96" s="893" t="s">
        <v>737</v>
      </c>
      <c r="F96" s="893">
        <v>1</v>
      </c>
      <c r="G96" s="914">
        <v>5974.2227118574219</v>
      </c>
      <c r="H96" s="894">
        <f t="shared" si="2"/>
        <v>2.181340304599733E-3</v>
      </c>
      <c r="I96" s="900">
        <f t="shared" si="3"/>
        <v>0.85460243487913734</v>
      </c>
      <c r="J96" s="949"/>
    </row>
    <row r="97" spans="2:10" ht="15" customHeight="1">
      <c r="B97" s="899" t="s">
        <v>2346</v>
      </c>
      <c r="C97" s="893" t="s">
        <v>251</v>
      </c>
      <c r="D97" s="643" t="s">
        <v>333</v>
      </c>
      <c r="E97" s="893" t="s">
        <v>4</v>
      </c>
      <c r="F97" s="893">
        <v>371</v>
      </c>
      <c r="G97" s="914">
        <v>5968.7440716350065</v>
      </c>
      <c r="H97" s="894">
        <f t="shared" si="2"/>
        <v>2.1793399140371521E-3</v>
      </c>
      <c r="I97" s="900">
        <f t="shared" si="3"/>
        <v>0.85678177479317452</v>
      </c>
      <c r="J97" s="949"/>
    </row>
    <row r="98" spans="2:10" ht="15" customHeight="1">
      <c r="B98" s="899" t="s">
        <v>1230</v>
      </c>
      <c r="C98" s="893" t="s">
        <v>329</v>
      </c>
      <c r="D98" s="643" t="s">
        <v>1643</v>
      </c>
      <c r="E98" s="893" t="s">
        <v>737</v>
      </c>
      <c r="F98" s="893">
        <v>187</v>
      </c>
      <c r="G98" s="914">
        <v>5874.5924075861712</v>
      </c>
      <c r="H98" s="894">
        <f t="shared" si="2"/>
        <v>2.1449627524480412E-3</v>
      </c>
      <c r="I98" s="900">
        <f t="shared" si="3"/>
        <v>0.85892673754562254</v>
      </c>
      <c r="J98" s="949"/>
    </row>
    <row r="99" spans="2:10" ht="15" customHeight="1">
      <c r="B99" s="899" t="s">
        <v>829</v>
      </c>
      <c r="C99" s="893" t="s">
        <v>371</v>
      </c>
      <c r="D99" s="643" t="s">
        <v>2133</v>
      </c>
      <c r="E99" s="893" t="s">
        <v>737</v>
      </c>
      <c r="F99" s="893">
        <v>8</v>
      </c>
      <c r="G99" s="914">
        <v>5864.195243351377</v>
      </c>
      <c r="H99" s="894">
        <f t="shared" si="2"/>
        <v>2.1411664839637939E-3</v>
      </c>
      <c r="I99" s="900">
        <f t="shared" si="3"/>
        <v>0.86106790402958633</v>
      </c>
      <c r="J99" s="949"/>
    </row>
    <row r="100" spans="2:10" ht="15" customHeight="1">
      <c r="B100" s="899" t="s">
        <v>2379</v>
      </c>
      <c r="C100" s="893" t="s">
        <v>935</v>
      </c>
      <c r="D100" s="643" t="s">
        <v>992</v>
      </c>
      <c r="E100" s="893" t="s">
        <v>737</v>
      </c>
      <c r="F100" s="893">
        <v>3</v>
      </c>
      <c r="G100" s="914">
        <v>5864.1813426011195</v>
      </c>
      <c r="H100" s="894">
        <f t="shared" si="2"/>
        <v>2.141161408447151E-3</v>
      </c>
      <c r="I100" s="900">
        <f t="shared" si="3"/>
        <v>0.86320906543803344</v>
      </c>
      <c r="J100" s="949"/>
    </row>
    <row r="101" spans="2:10" ht="15" customHeight="1">
      <c r="B101" s="899" t="s">
        <v>1087</v>
      </c>
      <c r="C101" s="893" t="s">
        <v>207</v>
      </c>
      <c r="D101" s="643" t="s">
        <v>111</v>
      </c>
      <c r="E101" s="893" t="s">
        <v>737</v>
      </c>
      <c r="F101" s="893">
        <v>103</v>
      </c>
      <c r="G101" s="914">
        <v>5816.521937516176</v>
      </c>
      <c r="H101" s="894">
        <f t="shared" si="2"/>
        <v>2.1237597503203638E-3</v>
      </c>
      <c r="I101" s="900">
        <f t="shared" si="3"/>
        <v>0.86533282518835375</v>
      </c>
      <c r="J101" s="949"/>
    </row>
    <row r="102" spans="2:10" ht="30" customHeight="1">
      <c r="B102" s="899" t="s">
        <v>1390</v>
      </c>
      <c r="C102" s="893" t="s">
        <v>1399</v>
      </c>
      <c r="D102" s="643" t="s">
        <v>1551</v>
      </c>
      <c r="E102" s="893" t="s">
        <v>737</v>
      </c>
      <c r="F102" s="893">
        <v>4</v>
      </c>
      <c r="G102" s="914">
        <v>5545.8189960978525</v>
      </c>
      <c r="H102" s="894">
        <f t="shared" si="2"/>
        <v>2.0249192374754881E-3</v>
      </c>
      <c r="I102" s="900">
        <f t="shared" si="3"/>
        <v>0.86735774442582925</v>
      </c>
      <c r="J102" s="949"/>
    </row>
    <row r="103" spans="2:10" ht="15" customHeight="1">
      <c r="B103" s="899" t="s">
        <v>716</v>
      </c>
      <c r="C103" s="893" t="s">
        <v>25</v>
      </c>
      <c r="D103" s="643" t="s">
        <v>334</v>
      </c>
      <c r="E103" s="893" t="s">
        <v>4</v>
      </c>
      <c r="F103" s="893">
        <v>709.64</v>
      </c>
      <c r="G103" s="914">
        <v>5543.866743360697</v>
      </c>
      <c r="H103" s="894">
        <f t="shared" si="2"/>
        <v>2.024206420463851E-3</v>
      </c>
      <c r="I103" s="900">
        <f t="shared" si="3"/>
        <v>0.86938195084629311</v>
      </c>
      <c r="J103" s="949"/>
    </row>
    <row r="104" spans="2:10" ht="15" customHeight="1">
      <c r="B104" s="899" t="s">
        <v>2413</v>
      </c>
      <c r="C104" s="893" t="s">
        <v>957</v>
      </c>
      <c r="D104" s="643" t="s">
        <v>1018</v>
      </c>
      <c r="E104" s="893" t="s">
        <v>737</v>
      </c>
      <c r="F104" s="893">
        <v>16</v>
      </c>
      <c r="G104" s="914">
        <v>5391.3358261330759</v>
      </c>
      <c r="H104" s="894">
        <f t="shared" si="2"/>
        <v>1.9685135121988474E-3</v>
      </c>
      <c r="I104" s="900">
        <f t="shared" si="3"/>
        <v>0.87135046435849195</v>
      </c>
      <c r="J104" s="949"/>
    </row>
    <row r="105" spans="2:10" ht="45" customHeight="1">
      <c r="B105" s="899" t="s">
        <v>1412</v>
      </c>
      <c r="C105" s="893" t="s">
        <v>283</v>
      </c>
      <c r="D105" s="643" t="s">
        <v>2497</v>
      </c>
      <c r="E105" s="893" t="s">
        <v>737</v>
      </c>
      <c r="F105" s="893">
        <v>20</v>
      </c>
      <c r="G105" s="914">
        <v>5172.855764727562</v>
      </c>
      <c r="H105" s="894">
        <f t="shared" si="2"/>
        <v>1.8887408979725022E-3</v>
      </c>
      <c r="I105" s="900">
        <f t="shared" si="3"/>
        <v>0.87323920525646448</v>
      </c>
      <c r="J105" s="949"/>
    </row>
    <row r="106" spans="2:10" ht="15" customHeight="1">
      <c r="B106" s="899" t="s">
        <v>1423</v>
      </c>
      <c r="C106" s="893" t="s">
        <v>297</v>
      </c>
      <c r="D106" s="643" t="s">
        <v>2441</v>
      </c>
      <c r="E106" s="893" t="s">
        <v>737</v>
      </c>
      <c r="F106" s="893">
        <v>170</v>
      </c>
      <c r="G106" s="914">
        <v>5027.7350021773655</v>
      </c>
      <c r="H106" s="894">
        <f t="shared" si="2"/>
        <v>1.8357536252086833E-3</v>
      </c>
      <c r="I106" s="900">
        <f t="shared" si="3"/>
        <v>0.87507495888167319</v>
      </c>
      <c r="J106" s="949"/>
    </row>
    <row r="107" spans="2:10" ht="15" customHeight="1">
      <c r="B107" s="899" t="s">
        <v>2355</v>
      </c>
      <c r="C107" s="893" t="s">
        <v>257</v>
      </c>
      <c r="D107" s="643" t="s">
        <v>2447</v>
      </c>
      <c r="E107" s="893" t="s">
        <v>737</v>
      </c>
      <c r="F107" s="893">
        <v>9</v>
      </c>
      <c r="G107" s="914">
        <v>5004.8785977592706</v>
      </c>
      <c r="H107" s="894">
        <f t="shared" si="2"/>
        <v>1.8274081719873855E-3</v>
      </c>
      <c r="I107" s="900">
        <f t="shared" si="3"/>
        <v>0.87690236705366054</v>
      </c>
      <c r="J107" s="949"/>
    </row>
    <row r="108" spans="2:10" ht="15" customHeight="1">
      <c r="B108" s="899" t="s">
        <v>1156</v>
      </c>
      <c r="C108" s="893" t="s">
        <v>842</v>
      </c>
      <c r="D108" s="643" t="s">
        <v>1513</v>
      </c>
      <c r="E108" s="893" t="s">
        <v>737</v>
      </c>
      <c r="F108" s="893">
        <v>21</v>
      </c>
      <c r="G108" s="914">
        <v>4940.4838170298153</v>
      </c>
      <c r="H108" s="894">
        <f t="shared" si="2"/>
        <v>1.8038960035621559E-3</v>
      </c>
      <c r="I108" s="900">
        <f t="shared" si="3"/>
        <v>0.87870626305722266</v>
      </c>
      <c r="J108" s="949"/>
    </row>
    <row r="109" spans="2:10" ht="15" customHeight="1">
      <c r="B109" s="899" t="s">
        <v>2390</v>
      </c>
      <c r="C109" s="893" t="s">
        <v>943</v>
      </c>
      <c r="D109" s="643" t="s">
        <v>1002</v>
      </c>
      <c r="E109" s="893" t="s">
        <v>737</v>
      </c>
      <c r="F109" s="893">
        <v>2</v>
      </c>
      <c r="G109" s="914">
        <v>4761.5430442743445</v>
      </c>
      <c r="H109" s="894">
        <f t="shared" si="2"/>
        <v>1.7385601869088839E-3</v>
      </c>
      <c r="I109" s="900">
        <f t="shared" si="3"/>
        <v>0.88044482324413154</v>
      </c>
      <c r="J109" s="949"/>
    </row>
    <row r="110" spans="2:10" ht="15" customHeight="1">
      <c r="B110" s="899" t="s">
        <v>2356</v>
      </c>
      <c r="C110" s="893" t="s">
        <v>258</v>
      </c>
      <c r="D110" s="643" t="s">
        <v>2448</v>
      </c>
      <c r="E110" s="893" t="s">
        <v>737</v>
      </c>
      <c r="F110" s="893">
        <v>14</v>
      </c>
      <c r="G110" s="914">
        <v>4761.0514738206493</v>
      </c>
      <c r="H110" s="894">
        <f t="shared" si="2"/>
        <v>1.7383807020629192E-3</v>
      </c>
      <c r="I110" s="900">
        <f t="shared" si="3"/>
        <v>0.88218320394619443</v>
      </c>
      <c r="J110" s="949"/>
    </row>
    <row r="111" spans="2:10" ht="15" customHeight="1">
      <c r="B111" s="899" t="s">
        <v>1155</v>
      </c>
      <c r="C111" s="893" t="s">
        <v>841</v>
      </c>
      <c r="D111" s="643" t="s">
        <v>1512</v>
      </c>
      <c r="E111" s="893" t="s">
        <v>737</v>
      </c>
      <c r="F111" s="893">
        <v>26</v>
      </c>
      <c r="G111" s="914">
        <v>4750.3380303131298</v>
      </c>
      <c r="H111" s="894">
        <f t="shared" si="2"/>
        <v>1.7344689519907933E-3</v>
      </c>
      <c r="I111" s="900">
        <f t="shared" si="3"/>
        <v>0.88391767289818524</v>
      </c>
      <c r="J111" s="949"/>
    </row>
    <row r="112" spans="2:10" ht="15" customHeight="1">
      <c r="B112" s="899" t="s">
        <v>1441</v>
      </c>
      <c r="C112" s="893" t="s">
        <v>319</v>
      </c>
      <c r="D112" s="643" t="s">
        <v>794</v>
      </c>
      <c r="E112" s="893" t="s">
        <v>13</v>
      </c>
      <c r="F112" s="893">
        <v>82.65</v>
      </c>
      <c r="G112" s="914">
        <v>4651.9487877938755</v>
      </c>
      <c r="H112" s="894">
        <f t="shared" si="2"/>
        <v>1.698544542975991E-3</v>
      </c>
      <c r="I112" s="900">
        <f t="shared" si="3"/>
        <v>0.88561621744116126</v>
      </c>
      <c r="J112" s="949"/>
    </row>
    <row r="113" spans="2:10" ht="15" customHeight="1">
      <c r="B113" s="899" t="s">
        <v>1376</v>
      </c>
      <c r="C113" s="893" t="s">
        <v>229</v>
      </c>
      <c r="D113" s="643" t="s">
        <v>898</v>
      </c>
      <c r="E113" s="893" t="s">
        <v>13</v>
      </c>
      <c r="F113" s="893">
        <v>101</v>
      </c>
      <c r="G113" s="914">
        <v>4631.4571224938391</v>
      </c>
      <c r="H113" s="894">
        <f t="shared" si="2"/>
        <v>1.6910625160106052E-3</v>
      </c>
      <c r="I113" s="900">
        <f t="shared" si="3"/>
        <v>0.88730727995717185</v>
      </c>
      <c r="J113" s="949"/>
    </row>
    <row r="114" spans="2:10" ht="15" customHeight="1">
      <c r="B114" s="899" t="s">
        <v>2352</v>
      </c>
      <c r="C114" s="893" t="s">
        <v>801</v>
      </c>
      <c r="D114" s="643" t="s">
        <v>1635</v>
      </c>
      <c r="E114" s="893" t="s">
        <v>13</v>
      </c>
      <c r="F114" s="893">
        <v>360</v>
      </c>
      <c r="G114" s="914">
        <v>4624.7776778518837</v>
      </c>
      <c r="H114" s="894">
        <f t="shared" si="2"/>
        <v>1.6886236812847218E-3</v>
      </c>
      <c r="I114" s="900">
        <f t="shared" si="3"/>
        <v>0.8889959036384566</v>
      </c>
      <c r="J114" s="949"/>
    </row>
    <row r="115" spans="2:10" ht="30" customHeight="1">
      <c r="B115" s="899" t="s">
        <v>1242</v>
      </c>
      <c r="C115" s="893" t="s">
        <v>1047</v>
      </c>
      <c r="D115" s="643" t="s">
        <v>1566</v>
      </c>
      <c r="E115" s="893" t="s">
        <v>737</v>
      </c>
      <c r="F115" s="893">
        <v>2</v>
      </c>
      <c r="G115" s="914">
        <v>4623.5819525034167</v>
      </c>
      <c r="H115" s="894">
        <f t="shared" si="2"/>
        <v>1.6881870916191464E-3</v>
      </c>
      <c r="I115" s="900">
        <f t="shared" si="3"/>
        <v>0.89068409073007571</v>
      </c>
      <c r="J115" s="949"/>
    </row>
    <row r="116" spans="2:10" ht="15" customHeight="1">
      <c r="B116" s="899" t="s">
        <v>744</v>
      </c>
      <c r="C116" s="893" t="s">
        <v>213</v>
      </c>
      <c r="D116" s="643" t="s">
        <v>1152</v>
      </c>
      <c r="E116" s="893" t="s">
        <v>737</v>
      </c>
      <c r="F116" s="893">
        <v>39</v>
      </c>
      <c r="G116" s="914">
        <v>4588.8803270448143</v>
      </c>
      <c r="H116" s="894">
        <f t="shared" si="2"/>
        <v>1.6755166476302181E-3</v>
      </c>
      <c r="I116" s="900">
        <f t="shared" si="3"/>
        <v>0.89235960737770592</v>
      </c>
      <c r="J116" s="949"/>
    </row>
    <row r="117" spans="2:10" ht="15" customHeight="1">
      <c r="B117" s="899" t="s">
        <v>1322</v>
      </c>
      <c r="C117" s="893" t="s">
        <v>344</v>
      </c>
      <c r="D117" s="643" t="s">
        <v>1123</v>
      </c>
      <c r="E117" s="893" t="s">
        <v>4</v>
      </c>
      <c r="F117" s="893">
        <v>3.81</v>
      </c>
      <c r="G117" s="914">
        <v>4523.5309068518536</v>
      </c>
      <c r="H117" s="894">
        <f t="shared" si="2"/>
        <v>1.6516559161134296E-3</v>
      </c>
      <c r="I117" s="900">
        <f t="shared" si="3"/>
        <v>0.8940112632938193</v>
      </c>
      <c r="J117" s="949"/>
    </row>
    <row r="118" spans="2:10" ht="45" customHeight="1">
      <c r="B118" s="899" t="s">
        <v>1404</v>
      </c>
      <c r="C118" s="893" t="s">
        <v>277</v>
      </c>
      <c r="D118" s="643" t="s">
        <v>1616</v>
      </c>
      <c r="E118" s="893" t="s">
        <v>737</v>
      </c>
      <c r="F118" s="893">
        <v>1</v>
      </c>
      <c r="G118" s="914">
        <v>4521.2644291766128</v>
      </c>
      <c r="H118" s="894">
        <f t="shared" si="2"/>
        <v>1.6508283676036184E-3</v>
      </c>
      <c r="I118" s="900">
        <f t="shared" si="3"/>
        <v>0.89566209166142297</v>
      </c>
      <c r="J118" s="949"/>
    </row>
    <row r="119" spans="2:10" ht="15" customHeight="1">
      <c r="B119" s="899" t="s">
        <v>1388</v>
      </c>
      <c r="C119" s="893" t="s">
        <v>1397</v>
      </c>
      <c r="D119" s="643" t="s">
        <v>2163</v>
      </c>
      <c r="E119" s="893" t="s">
        <v>737</v>
      </c>
      <c r="F119" s="893">
        <v>4</v>
      </c>
      <c r="G119" s="914">
        <v>4434.7022428396031</v>
      </c>
      <c r="H119" s="894">
        <f t="shared" si="2"/>
        <v>1.6192223169057718E-3</v>
      </c>
      <c r="I119" s="900">
        <f t="shared" si="3"/>
        <v>0.89728131397832878</v>
      </c>
      <c r="J119" s="949"/>
    </row>
    <row r="120" spans="2:10" ht="15" customHeight="1">
      <c r="B120" s="899" t="s">
        <v>784</v>
      </c>
      <c r="C120" s="893" t="s">
        <v>290</v>
      </c>
      <c r="D120" s="643" t="s">
        <v>2308</v>
      </c>
      <c r="E120" s="893" t="s">
        <v>737</v>
      </c>
      <c r="F120" s="893">
        <v>77</v>
      </c>
      <c r="G120" s="914">
        <v>4263.7804271259165</v>
      </c>
      <c r="H120" s="894">
        <f t="shared" si="2"/>
        <v>1.5568144249449255E-3</v>
      </c>
      <c r="I120" s="900">
        <f t="shared" si="3"/>
        <v>0.89883812840327371</v>
      </c>
      <c r="J120" s="949"/>
    </row>
    <row r="121" spans="2:10" ht="15" customHeight="1">
      <c r="B121" s="899" t="s">
        <v>749</v>
      </c>
      <c r="C121" s="893" t="s">
        <v>219</v>
      </c>
      <c r="D121" s="643" t="s">
        <v>129</v>
      </c>
      <c r="E121" s="893" t="s">
        <v>13</v>
      </c>
      <c r="F121" s="893">
        <v>70</v>
      </c>
      <c r="G121" s="914">
        <v>4202.8958813576164</v>
      </c>
      <c r="H121" s="894">
        <f t="shared" si="2"/>
        <v>1.5345839323742279E-3</v>
      </c>
      <c r="I121" s="900">
        <f t="shared" si="3"/>
        <v>0.90037271233564797</v>
      </c>
      <c r="J121" s="949"/>
    </row>
    <row r="122" spans="2:10" ht="15" customHeight="1">
      <c r="B122" s="899" t="s">
        <v>750</v>
      </c>
      <c r="C122" s="893" t="s">
        <v>228</v>
      </c>
      <c r="D122" s="643" t="s">
        <v>112</v>
      </c>
      <c r="E122" s="893" t="s">
        <v>13</v>
      </c>
      <c r="F122" s="893">
        <v>143</v>
      </c>
      <c r="G122" s="914">
        <v>4081.5434181287496</v>
      </c>
      <c r="H122" s="894">
        <f t="shared" si="2"/>
        <v>1.490275068799692E-3</v>
      </c>
      <c r="I122" s="900">
        <f t="shared" si="3"/>
        <v>0.9018629874044477</v>
      </c>
      <c r="J122" s="949"/>
    </row>
    <row r="123" spans="2:10" ht="15" customHeight="1">
      <c r="B123" s="899" t="s">
        <v>787</v>
      </c>
      <c r="C123" s="893" t="s">
        <v>302</v>
      </c>
      <c r="D123" s="643" t="s">
        <v>187</v>
      </c>
      <c r="E123" s="893" t="s">
        <v>737</v>
      </c>
      <c r="F123" s="893">
        <v>60</v>
      </c>
      <c r="G123" s="914">
        <v>3959.743124968315</v>
      </c>
      <c r="H123" s="894">
        <f t="shared" si="2"/>
        <v>1.445802691153711E-3</v>
      </c>
      <c r="I123" s="900">
        <f t="shared" si="3"/>
        <v>0.90330879009560139</v>
      </c>
      <c r="J123" s="949"/>
    </row>
    <row r="124" spans="2:10" ht="15" customHeight="1">
      <c r="B124" s="899" t="s">
        <v>735</v>
      </c>
      <c r="C124" s="893" t="s">
        <v>204</v>
      </c>
      <c r="D124" s="643" t="s">
        <v>1205</v>
      </c>
      <c r="E124" s="893" t="s">
        <v>737</v>
      </c>
      <c r="F124" s="893">
        <v>13</v>
      </c>
      <c r="G124" s="914">
        <v>3824.3060582915032</v>
      </c>
      <c r="H124" s="894">
        <f t="shared" si="2"/>
        <v>1.3963511814715354E-3</v>
      </c>
      <c r="I124" s="900">
        <f t="shared" si="3"/>
        <v>0.90470514127707291</v>
      </c>
      <c r="J124" s="949"/>
    </row>
    <row r="125" spans="2:10" ht="45" customHeight="1">
      <c r="B125" s="899" t="s">
        <v>1235</v>
      </c>
      <c r="C125" s="893" t="s">
        <v>325</v>
      </c>
      <c r="D125" s="643" t="s">
        <v>178</v>
      </c>
      <c r="E125" s="893" t="s">
        <v>737</v>
      </c>
      <c r="F125" s="893">
        <v>1</v>
      </c>
      <c r="G125" s="914">
        <v>3756.9874045978327</v>
      </c>
      <c r="H125" s="894">
        <f t="shared" si="2"/>
        <v>1.3717714328354588E-3</v>
      </c>
      <c r="I125" s="900">
        <f t="shared" si="3"/>
        <v>0.90607691270990842</v>
      </c>
      <c r="J125" s="949"/>
    </row>
    <row r="126" spans="2:10" ht="15" customHeight="1">
      <c r="B126" s="899" t="s">
        <v>1333</v>
      </c>
      <c r="C126" s="893" t="s">
        <v>1138</v>
      </c>
      <c r="D126" s="643" t="s">
        <v>1538</v>
      </c>
      <c r="E126" s="893" t="s">
        <v>737</v>
      </c>
      <c r="F126" s="893">
        <v>9</v>
      </c>
      <c r="G126" s="914">
        <v>3671.1514735184119</v>
      </c>
      <c r="H126" s="894">
        <f t="shared" si="2"/>
        <v>1.3404305563604719E-3</v>
      </c>
      <c r="I126" s="900">
        <f t="shared" si="3"/>
        <v>0.90741734326626888</v>
      </c>
      <c r="J126" s="949"/>
    </row>
    <row r="127" spans="2:10" ht="15" customHeight="1">
      <c r="B127" s="899" t="s">
        <v>2350</v>
      </c>
      <c r="C127" s="893" t="s">
        <v>1646</v>
      </c>
      <c r="D127" s="643" t="s">
        <v>860</v>
      </c>
      <c r="E127" s="893" t="s">
        <v>737</v>
      </c>
      <c r="F127" s="893">
        <v>717</v>
      </c>
      <c r="G127" s="914">
        <v>3573.8641016394085</v>
      </c>
      <c r="H127" s="894">
        <f t="shared" si="2"/>
        <v>1.3049084682757654E-3</v>
      </c>
      <c r="I127" s="900">
        <f t="shared" si="3"/>
        <v>0.90872225173454468</v>
      </c>
      <c r="J127" s="949"/>
    </row>
    <row r="128" spans="2:10" ht="15" customHeight="1">
      <c r="B128" s="899" t="s">
        <v>2294</v>
      </c>
      <c r="C128" s="893" t="s">
        <v>2295</v>
      </c>
      <c r="D128" s="643" t="s">
        <v>2307</v>
      </c>
      <c r="E128" s="893" t="s">
        <v>13</v>
      </c>
      <c r="F128" s="893">
        <v>54.46</v>
      </c>
      <c r="G128" s="914">
        <v>3571.2731199287632</v>
      </c>
      <c r="H128" s="894">
        <f t="shared" si="2"/>
        <v>1.3039624351085229E-3</v>
      </c>
      <c r="I128" s="900">
        <f t="shared" si="3"/>
        <v>0.91002621416965324</v>
      </c>
      <c r="J128" s="949"/>
    </row>
    <row r="129" spans="2:10" ht="15" customHeight="1">
      <c r="B129" s="899" t="s">
        <v>1302</v>
      </c>
      <c r="C129" s="893" t="s">
        <v>33</v>
      </c>
      <c r="D129" s="643" t="s">
        <v>1115</v>
      </c>
      <c r="E129" s="893" t="s">
        <v>737</v>
      </c>
      <c r="F129" s="893">
        <v>1</v>
      </c>
      <c r="G129" s="914">
        <v>3480.3627690611738</v>
      </c>
      <c r="H129" s="894">
        <f t="shared" si="2"/>
        <v>1.2707687592083618E-3</v>
      </c>
      <c r="I129" s="900">
        <f t="shared" si="3"/>
        <v>0.91129698292886163</v>
      </c>
      <c r="J129" s="949"/>
    </row>
    <row r="130" spans="2:10" ht="30" customHeight="1">
      <c r="B130" s="899" t="s">
        <v>724</v>
      </c>
      <c r="C130" s="893" t="s">
        <v>365</v>
      </c>
      <c r="D130" s="643" t="s">
        <v>826</v>
      </c>
      <c r="E130" s="893" t="s">
        <v>737</v>
      </c>
      <c r="F130" s="893">
        <v>3</v>
      </c>
      <c r="G130" s="914">
        <v>3433.5986946959197</v>
      </c>
      <c r="H130" s="894">
        <f t="shared" si="2"/>
        <v>1.2536940090458401E-3</v>
      </c>
      <c r="I130" s="900">
        <f t="shared" si="3"/>
        <v>0.91255067693790748</v>
      </c>
      <c r="J130" s="949"/>
    </row>
    <row r="131" spans="2:10" ht="15" customHeight="1">
      <c r="B131" s="899" t="s">
        <v>2380</v>
      </c>
      <c r="C131" s="893" t="s">
        <v>936</v>
      </c>
      <c r="D131" s="643" t="s">
        <v>993</v>
      </c>
      <c r="E131" s="893" t="s">
        <v>737</v>
      </c>
      <c r="F131" s="893">
        <v>3</v>
      </c>
      <c r="G131" s="914">
        <v>3343.9186477637181</v>
      </c>
      <c r="H131" s="894">
        <f t="shared" ref="H131:H194" si="4">G131/$G$387</f>
        <v>1.2209495483307513E-3</v>
      </c>
      <c r="I131" s="900">
        <f t="shared" si="3"/>
        <v>0.91377162648623822</v>
      </c>
      <c r="J131" s="949"/>
    </row>
    <row r="132" spans="2:10" ht="15" customHeight="1">
      <c r="B132" s="899" t="s">
        <v>2349</v>
      </c>
      <c r="C132" s="893" t="s">
        <v>254</v>
      </c>
      <c r="D132" s="643" t="s">
        <v>1132</v>
      </c>
      <c r="E132" s="893" t="s">
        <v>13</v>
      </c>
      <c r="F132" s="893">
        <v>110</v>
      </c>
      <c r="G132" s="914">
        <v>3328.1949533734687</v>
      </c>
      <c r="H132" s="894">
        <f t="shared" si="4"/>
        <v>1.2152084285290765E-3</v>
      </c>
      <c r="I132" s="900">
        <f t="shared" ref="I132:I195" si="5">H132+I131</f>
        <v>0.91498683491476729</v>
      </c>
      <c r="J132" s="949"/>
    </row>
    <row r="133" spans="2:10" ht="15" customHeight="1">
      <c r="B133" s="899" t="s">
        <v>1387</v>
      </c>
      <c r="C133" s="893" t="s">
        <v>1396</v>
      </c>
      <c r="D133" s="643" t="s">
        <v>2162</v>
      </c>
      <c r="E133" s="893" t="s">
        <v>737</v>
      </c>
      <c r="F133" s="893">
        <v>1</v>
      </c>
      <c r="G133" s="914">
        <v>3300.0559751219498</v>
      </c>
      <c r="H133" s="894">
        <f t="shared" si="4"/>
        <v>1.2049341735588916E-3</v>
      </c>
      <c r="I133" s="900">
        <f t="shared" si="5"/>
        <v>0.91619176908832622</v>
      </c>
      <c r="J133" s="949"/>
    </row>
    <row r="134" spans="2:10" ht="15" customHeight="1">
      <c r="B134" s="899" t="s">
        <v>752</v>
      </c>
      <c r="C134" s="893" t="s">
        <v>231</v>
      </c>
      <c r="D134" s="643" t="s">
        <v>114</v>
      </c>
      <c r="E134" s="893" t="s">
        <v>13</v>
      </c>
      <c r="F134" s="893">
        <v>36</v>
      </c>
      <c r="G134" s="914">
        <v>3282.4377612220205</v>
      </c>
      <c r="H134" s="894">
        <f t="shared" si="4"/>
        <v>1.1985013166118785E-3</v>
      </c>
      <c r="I134" s="900">
        <f t="shared" si="5"/>
        <v>0.91739027040493815</v>
      </c>
      <c r="J134" s="949"/>
    </row>
    <row r="135" spans="2:10" ht="30" customHeight="1">
      <c r="B135" s="899" t="s">
        <v>1577</v>
      </c>
      <c r="C135" s="893" t="s">
        <v>776</v>
      </c>
      <c r="D135" s="643" t="s">
        <v>2440</v>
      </c>
      <c r="E135" s="893" t="s">
        <v>737</v>
      </c>
      <c r="F135" s="893">
        <v>1</v>
      </c>
      <c r="G135" s="914">
        <v>3267.9841058838342</v>
      </c>
      <c r="H135" s="894">
        <f t="shared" si="4"/>
        <v>1.19322392029463E-3</v>
      </c>
      <c r="I135" s="900">
        <f t="shared" si="5"/>
        <v>0.91858349432523279</v>
      </c>
      <c r="J135" s="949"/>
    </row>
    <row r="136" spans="2:10" ht="15" customHeight="1">
      <c r="B136" s="899" t="s">
        <v>2400</v>
      </c>
      <c r="C136" s="893" t="s">
        <v>951</v>
      </c>
      <c r="D136" s="643" t="s">
        <v>1012</v>
      </c>
      <c r="E136" s="893" t="s">
        <v>737</v>
      </c>
      <c r="F136" s="893">
        <v>1</v>
      </c>
      <c r="G136" s="914">
        <v>3154.8522069800883</v>
      </c>
      <c r="H136" s="894">
        <f t="shared" si="4"/>
        <v>1.1519165933473361E-3</v>
      </c>
      <c r="I136" s="900">
        <f t="shared" si="5"/>
        <v>0.91973541091858013</v>
      </c>
      <c r="J136" s="949"/>
    </row>
    <row r="137" spans="2:10" ht="15" customHeight="1">
      <c r="B137" s="899" t="s">
        <v>2432</v>
      </c>
      <c r="C137" s="893" t="s">
        <v>1035</v>
      </c>
      <c r="D137" s="643" t="s">
        <v>127</v>
      </c>
      <c r="E137" s="893" t="s">
        <v>13</v>
      </c>
      <c r="F137" s="893">
        <v>310</v>
      </c>
      <c r="G137" s="914">
        <v>3065.9182289945265</v>
      </c>
      <c r="H137" s="894">
        <f t="shared" si="4"/>
        <v>1.1194445413357404E-3</v>
      </c>
      <c r="I137" s="900">
        <f t="shared" si="5"/>
        <v>0.92085485545991586</v>
      </c>
      <c r="J137" s="949"/>
    </row>
    <row r="138" spans="2:10" ht="15" customHeight="1">
      <c r="B138" s="899" t="s">
        <v>797</v>
      </c>
      <c r="C138" s="893" t="s">
        <v>356</v>
      </c>
      <c r="D138" s="643" t="s">
        <v>392</v>
      </c>
      <c r="E138" s="893" t="s">
        <v>4</v>
      </c>
      <c r="F138" s="893">
        <v>119.72</v>
      </c>
      <c r="G138" s="914">
        <v>3050.3491150508753</v>
      </c>
      <c r="H138" s="894">
        <f t="shared" si="4"/>
        <v>1.1137598627775093E-3</v>
      </c>
      <c r="I138" s="900">
        <f t="shared" si="5"/>
        <v>0.92196861532269336</v>
      </c>
      <c r="J138" s="949"/>
    </row>
    <row r="139" spans="2:10" ht="15" customHeight="1">
      <c r="B139" s="899" t="s">
        <v>2403</v>
      </c>
      <c r="C139" s="893" t="s">
        <v>954</v>
      </c>
      <c r="D139" s="643" t="s">
        <v>1015</v>
      </c>
      <c r="E139" s="893" t="s">
        <v>13</v>
      </c>
      <c r="F139" s="893">
        <v>20</v>
      </c>
      <c r="G139" s="914">
        <v>2970.7769913380398</v>
      </c>
      <c r="H139" s="894">
        <f t="shared" si="4"/>
        <v>1.084706061312609E-3</v>
      </c>
      <c r="I139" s="900">
        <f t="shared" si="5"/>
        <v>0.92305332138400598</v>
      </c>
      <c r="J139" s="949"/>
    </row>
    <row r="140" spans="2:10" ht="30" customHeight="1">
      <c r="B140" s="899" t="s">
        <v>1383</v>
      </c>
      <c r="C140" s="893" t="s">
        <v>1392</v>
      </c>
      <c r="D140" s="643" t="s">
        <v>2158</v>
      </c>
      <c r="E140" s="893" t="s">
        <v>737</v>
      </c>
      <c r="F140" s="893">
        <v>4</v>
      </c>
      <c r="G140" s="914">
        <v>2963.1293252545111</v>
      </c>
      <c r="H140" s="894">
        <f t="shared" si="4"/>
        <v>1.0819137043703391E-3</v>
      </c>
      <c r="I140" s="900">
        <f t="shared" si="5"/>
        <v>0.92413523508837636</v>
      </c>
      <c r="J140" s="949"/>
    </row>
    <row r="141" spans="2:10" ht="30" customHeight="1">
      <c r="B141" s="899" t="s">
        <v>1407</v>
      </c>
      <c r="C141" s="893" t="s">
        <v>278</v>
      </c>
      <c r="D141" s="643" t="s">
        <v>146</v>
      </c>
      <c r="E141" s="893" t="s">
        <v>13</v>
      </c>
      <c r="F141" s="893">
        <v>150</v>
      </c>
      <c r="G141" s="914">
        <v>2939.0215252953903</v>
      </c>
      <c r="H141" s="894">
        <f t="shared" si="4"/>
        <v>1.073111334883563E-3</v>
      </c>
      <c r="I141" s="900">
        <f t="shared" si="5"/>
        <v>0.92520834642325989</v>
      </c>
      <c r="J141" s="949"/>
    </row>
    <row r="142" spans="2:10" ht="15" customHeight="1">
      <c r="B142" s="899" t="s">
        <v>2179</v>
      </c>
      <c r="C142" s="893" t="s">
        <v>266</v>
      </c>
      <c r="D142" s="643" t="s">
        <v>1120</v>
      </c>
      <c r="E142" s="893" t="s">
        <v>13</v>
      </c>
      <c r="F142" s="893">
        <v>82</v>
      </c>
      <c r="G142" s="914">
        <v>2922.646316667061</v>
      </c>
      <c r="H142" s="894">
        <f t="shared" si="4"/>
        <v>1.0671323307017623E-3</v>
      </c>
      <c r="I142" s="900">
        <f t="shared" si="5"/>
        <v>0.92627547875396166</v>
      </c>
      <c r="J142" s="949"/>
    </row>
    <row r="143" spans="2:10" ht="15" customHeight="1">
      <c r="B143" s="899" t="s">
        <v>1449</v>
      </c>
      <c r="C143" s="893" t="s">
        <v>24</v>
      </c>
      <c r="D143" s="643" t="s">
        <v>395</v>
      </c>
      <c r="E143" s="893" t="s">
        <v>4</v>
      </c>
      <c r="F143" s="893">
        <v>25.89</v>
      </c>
      <c r="G143" s="914">
        <v>2921.1827468744136</v>
      </c>
      <c r="H143" s="894">
        <f t="shared" si="4"/>
        <v>1.0665979442332164E-3</v>
      </c>
      <c r="I143" s="900">
        <f t="shared" si="5"/>
        <v>0.92734207669819491</v>
      </c>
      <c r="J143" s="949"/>
    </row>
    <row r="144" spans="2:10" ht="15" customHeight="1">
      <c r="B144" s="899" t="s">
        <v>2432</v>
      </c>
      <c r="C144" s="893" t="s">
        <v>871</v>
      </c>
      <c r="D144" s="643" t="s">
        <v>127</v>
      </c>
      <c r="E144" s="893" t="s">
        <v>13</v>
      </c>
      <c r="F144" s="893">
        <v>295</v>
      </c>
      <c r="G144" s="914">
        <v>2917.5673469464045</v>
      </c>
      <c r="H144" s="894">
        <f t="shared" si="4"/>
        <v>1.0652778699807852E-3</v>
      </c>
      <c r="I144" s="900">
        <f t="shared" si="5"/>
        <v>0.92840735456817569</v>
      </c>
      <c r="J144" s="949"/>
    </row>
    <row r="145" spans="2:10" ht="15" customHeight="1">
      <c r="B145" s="899" t="s">
        <v>1075</v>
      </c>
      <c r="C145" s="893" t="s">
        <v>845</v>
      </c>
      <c r="D145" s="643" t="s">
        <v>1516</v>
      </c>
      <c r="E145" s="893" t="s">
        <v>737</v>
      </c>
      <c r="F145" s="893">
        <v>2</v>
      </c>
      <c r="G145" s="914">
        <v>2829.919181255751</v>
      </c>
      <c r="H145" s="894">
        <f t="shared" si="4"/>
        <v>1.0332753006648155E-3</v>
      </c>
      <c r="I145" s="900">
        <f t="shared" si="5"/>
        <v>0.92944062986884046</v>
      </c>
      <c r="J145" s="949"/>
    </row>
    <row r="146" spans="2:10" ht="15" customHeight="1">
      <c r="B146" s="899" t="s">
        <v>2353</v>
      </c>
      <c r="C146" s="893" t="s">
        <v>255</v>
      </c>
      <c r="D146" s="643" t="s">
        <v>911</v>
      </c>
      <c r="E146" s="893" t="s">
        <v>737</v>
      </c>
      <c r="F146" s="893">
        <v>7</v>
      </c>
      <c r="G146" s="914">
        <v>2817.3712706821411</v>
      </c>
      <c r="H146" s="894">
        <f t="shared" si="4"/>
        <v>1.0286937401183024E-3</v>
      </c>
      <c r="I146" s="900">
        <f t="shared" si="5"/>
        <v>0.93046932360895873</v>
      </c>
      <c r="J146" s="949"/>
    </row>
    <row r="147" spans="2:10" ht="15" customHeight="1">
      <c r="B147" s="899" t="s">
        <v>1073</v>
      </c>
      <c r="C147" s="893" t="s">
        <v>1532</v>
      </c>
      <c r="D147" s="643" t="s">
        <v>2156</v>
      </c>
      <c r="E147" s="893" t="s">
        <v>4</v>
      </c>
      <c r="F147" s="893">
        <v>4.2</v>
      </c>
      <c r="G147" s="914">
        <v>2783.4973111020681</v>
      </c>
      <c r="H147" s="894">
        <f t="shared" si="4"/>
        <v>1.0163254979431756E-3</v>
      </c>
      <c r="I147" s="900">
        <f t="shared" si="5"/>
        <v>0.9314856491069019</v>
      </c>
      <c r="J147" s="949"/>
    </row>
    <row r="148" spans="2:10" ht="15" customHeight="1">
      <c r="B148" s="899" t="s">
        <v>2352</v>
      </c>
      <c r="C148" s="893" t="s">
        <v>890</v>
      </c>
      <c r="D148" s="643" t="s">
        <v>905</v>
      </c>
      <c r="E148" s="893" t="s">
        <v>13</v>
      </c>
      <c r="F148" s="893">
        <v>215</v>
      </c>
      <c r="G148" s="914">
        <v>2762.0200020504303</v>
      </c>
      <c r="H148" s="894">
        <f t="shared" si="4"/>
        <v>1.008483587433931E-3</v>
      </c>
      <c r="I148" s="900">
        <f t="shared" si="5"/>
        <v>0.93249413269433579</v>
      </c>
      <c r="J148" s="949"/>
    </row>
    <row r="149" spans="2:10" ht="15" customHeight="1">
      <c r="B149" s="899" t="s">
        <v>705</v>
      </c>
      <c r="C149" s="893" t="s">
        <v>338</v>
      </c>
      <c r="D149" s="643" t="s">
        <v>101</v>
      </c>
      <c r="E149" s="893" t="s">
        <v>4</v>
      </c>
      <c r="F149" s="893">
        <v>25.33</v>
      </c>
      <c r="G149" s="914">
        <v>2732.2998011979016</v>
      </c>
      <c r="H149" s="894">
        <f t="shared" si="4"/>
        <v>9.9763198796949388E-4</v>
      </c>
      <c r="I149" s="900">
        <f t="shared" si="5"/>
        <v>0.93349176468230532</v>
      </c>
      <c r="J149" s="949"/>
    </row>
    <row r="150" spans="2:10" ht="15" customHeight="1">
      <c r="B150" s="899" t="s">
        <v>1068</v>
      </c>
      <c r="C150" s="893" t="s">
        <v>874</v>
      </c>
      <c r="D150" s="643" t="s">
        <v>1555</v>
      </c>
      <c r="E150" s="893" t="s">
        <v>737</v>
      </c>
      <c r="F150" s="893">
        <v>4</v>
      </c>
      <c r="G150" s="914">
        <v>2727.7725596541741</v>
      </c>
      <c r="H150" s="894">
        <f t="shared" si="4"/>
        <v>9.9597897720570179E-4</v>
      </c>
      <c r="I150" s="900">
        <f t="shared" si="5"/>
        <v>0.93448774365951104</v>
      </c>
      <c r="J150" s="949"/>
    </row>
    <row r="151" spans="2:10" ht="15" customHeight="1">
      <c r="B151" s="899" t="s">
        <v>1360</v>
      </c>
      <c r="C151" s="893" t="s">
        <v>875</v>
      </c>
      <c r="D151" s="643" t="s">
        <v>1556</v>
      </c>
      <c r="E151" s="893" t="s">
        <v>737</v>
      </c>
      <c r="F151" s="893">
        <v>4</v>
      </c>
      <c r="G151" s="914">
        <v>2724.9402644352135</v>
      </c>
      <c r="H151" s="894">
        <f t="shared" si="4"/>
        <v>9.9494483435338043E-4</v>
      </c>
      <c r="I151" s="900">
        <f t="shared" si="5"/>
        <v>0.9354826884938644</v>
      </c>
      <c r="J151" s="949"/>
    </row>
    <row r="152" spans="2:10" ht="15" customHeight="1">
      <c r="B152" s="899" t="s">
        <v>1527</v>
      </c>
      <c r="C152" s="893" t="s">
        <v>380</v>
      </c>
      <c r="D152" s="643" t="s">
        <v>2141</v>
      </c>
      <c r="E152" s="893" t="s">
        <v>737</v>
      </c>
      <c r="F152" s="893">
        <v>2</v>
      </c>
      <c r="G152" s="914">
        <v>2711.9228111479765</v>
      </c>
      <c r="H152" s="894">
        <f t="shared" si="4"/>
        <v>9.9019183184774289E-4</v>
      </c>
      <c r="I152" s="900">
        <f t="shared" si="5"/>
        <v>0.93647288032571219</v>
      </c>
      <c r="J152" s="949"/>
    </row>
    <row r="153" spans="2:10" ht="15" customHeight="1">
      <c r="B153" s="899" t="s">
        <v>720</v>
      </c>
      <c r="C153" s="893" t="s">
        <v>341</v>
      </c>
      <c r="D153" s="643" t="s">
        <v>388</v>
      </c>
      <c r="E153" s="893" t="s">
        <v>4</v>
      </c>
      <c r="F153" s="893">
        <v>50.66</v>
      </c>
      <c r="G153" s="914">
        <v>2679.5261855427998</v>
      </c>
      <c r="H153" s="894">
        <f t="shared" si="4"/>
        <v>9.783630017933594E-4</v>
      </c>
      <c r="I153" s="900">
        <f t="shared" si="5"/>
        <v>0.93745124332750551</v>
      </c>
      <c r="J153" s="949"/>
    </row>
    <row r="154" spans="2:10" ht="15" customHeight="1">
      <c r="B154" s="899" t="s">
        <v>2350</v>
      </c>
      <c r="C154" s="893" t="s">
        <v>892</v>
      </c>
      <c r="D154" s="643" t="s">
        <v>860</v>
      </c>
      <c r="E154" s="893" t="s">
        <v>737</v>
      </c>
      <c r="F154" s="893">
        <v>536</v>
      </c>
      <c r="G154" s="914">
        <v>2671.6752558978005</v>
      </c>
      <c r="H154" s="894">
        <f t="shared" si="4"/>
        <v>9.7549642816709939E-4</v>
      </c>
      <c r="I154" s="900">
        <f t="shared" si="5"/>
        <v>0.93842673975567259</v>
      </c>
      <c r="J154" s="949"/>
    </row>
    <row r="155" spans="2:10" ht="15" customHeight="1">
      <c r="B155" s="899" t="s">
        <v>1334</v>
      </c>
      <c r="C155" s="893" t="s">
        <v>203</v>
      </c>
      <c r="D155" s="643" t="s">
        <v>1338</v>
      </c>
      <c r="E155" s="893" t="s">
        <v>737</v>
      </c>
      <c r="F155" s="893">
        <v>64</v>
      </c>
      <c r="G155" s="914">
        <v>2644.8706916887977</v>
      </c>
      <c r="H155" s="894">
        <f t="shared" si="4"/>
        <v>9.6570940162383372E-4</v>
      </c>
      <c r="I155" s="900">
        <f t="shared" si="5"/>
        <v>0.93939244915729647</v>
      </c>
      <c r="J155" s="949"/>
    </row>
    <row r="156" spans="2:10" ht="15" customHeight="1">
      <c r="B156" s="899" t="s">
        <v>1074</v>
      </c>
      <c r="C156" s="893" t="s">
        <v>1110</v>
      </c>
      <c r="D156" s="643" t="s">
        <v>1144</v>
      </c>
      <c r="E156" s="893" t="s">
        <v>4</v>
      </c>
      <c r="F156" s="893">
        <v>4.1900000000000004</v>
      </c>
      <c r="G156" s="914">
        <v>2576.8370084659655</v>
      </c>
      <c r="H156" s="894">
        <f t="shared" si="4"/>
        <v>9.40868577563193E-4</v>
      </c>
      <c r="I156" s="900">
        <f t="shared" si="5"/>
        <v>0.94033331773485962</v>
      </c>
      <c r="J156" s="949"/>
    </row>
    <row r="157" spans="2:10" ht="30" customHeight="1">
      <c r="B157" s="899" t="s">
        <v>2435</v>
      </c>
      <c r="C157" s="893" t="s">
        <v>913</v>
      </c>
      <c r="D157" s="643" t="s">
        <v>968</v>
      </c>
      <c r="E157" s="893" t="s">
        <v>13</v>
      </c>
      <c r="F157" s="893">
        <v>15.1</v>
      </c>
      <c r="G157" s="914">
        <v>2536.502842515943</v>
      </c>
      <c r="H157" s="894">
        <f t="shared" si="4"/>
        <v>9.2614155011833826E-4</v>
      </c>
      <c r="I157" s="900">
        <f t="shared" si="5"/>
        <v>0.94125945928497801</v>
      </c>
      <c r="J157" s="949"/>
    </row>
    <row r="158" spans="2:10" ht="15" customHeight="1">
      <c r="B158" s="899" t="s">
        <v>1260</v>
      </c>
      <c r="C158" s="893" t="s">
        <v>370</v>
      </c>
      <c r="D158" s="643" t="s">
        <v>2132</v>
      </c>
      <c r="E158" s="893" t="s">
        <v>737</v>
      </c>
      <c r="F158" s="893">
        <v>8</v>
      </c>
      <c r="G158" s="914">
        <v>2484.0881949707955</v>
      </c>
      <c r="H158" s="894">
        <f t="shared" si="4"/>
        <v>9.0700363230775962E-4</v>
      </c>
      <c r="I158" s="900">
        <f t="shared" si="5"/>
        <v>0.94216646291728579</v>
      </c>
      <c r="J158" s="949"/>
    </row>
    <row r="159" spans="2:10" ht="15" customHeight="1">
      <c r="B159" s="899" t="s">
        <v>1301</v>
      </c>
      <c r="C159" s="893" t="s">
        <v>32</v>
      </c>
      <c r="D159" s="643" t="s">
        <v>8</v>
      </c>
      <c r="E159" s="893" t="s">
        <v>737</v>
      </c>
      <c r="F159" s="893">
        <v>1</v>
      </c>
      <c r="G159" s="914">
        <v>2400.2501855594301</v>
      </c>
      <c r="H159" s="894">
        <f t="shared" si="4"/>
        <v>8.7639224772990466E-4</v>
      </c>
      <c r="I159" s="900">
        <f t="shared" si="5"/>
        <v>0.94304285516501574</v>
      </c>
      <c r="J159" s="949"/>
    </row>
    <row r="160" spans="2:10" ht="15" customHeight="1">
      <c r="B160" s="899" t="s">
        <v>2391</v>
      </c>
      <c r="C160" s="893" t="s">
        <v>944</v>
      </c>
      <c r="D160" s="643" t="s">
        <v>1003</v>
      </c>
      <c r="E160" s="893" t="s">
        <v>737</v>
      </c>
      <c r="F160" s="893">
        <v>2</v>
      </c>
      <c r="G160" s="914">
        <v>2397.2966114983055</v>
      </c>
      <c r="H160" s="894">
        <f t="shared" si="4"/>
        <v>8.7531382289492761E-4</v>
      </c>
      <c r="I160" s="900">
        <f t="shared" si="5"/>
        <v>0.9439181689879107</v>
      </c>
      <c r="J160" s="949"/>
    </row>
    <row r="161" spans="2:10" ht="15" customHeight="1">
      <c r="B161" s="899" t="s">
        <v>1342</v>
      </c>
      <c r="C161" s="893" t="s">
        <v>216</v>
      </c>
      <c r="D161" s="643" t="s">
        <v>1196</v>
      </c>
      <c r="E161" s="893" t="s">
        <v>737</v>
      </c>
      <c r="F161" s="893">
        <v>33</v>
      </c>
      <c r="G161" s="914">
        <v>2374.5256951254196</v>
      </c>
      <c r="H161" s="894">
        <f t="shared" si="4"/>
        <v>8.6699958352814597E-4</v>
      </c>
      <c r="I161" s="900">
        <f t="shared" si="5"/>
        <v>0.94478516857143879</v>
      </c>
      <c r="J161" s="949"/>
    </row>
    <row r="162" spans="2:10" ht="15" customHeight="1">
      <c r="B162" s="899" t="s">
        <v>2429</v>
      </c>
      <c r="C162" s="893" t="s">
        <v>1645</v>
      </c>
      <c r="D162" s="643" t="s">
        <v>876</v>
      </c>
      <c r="E162" s="893" t="s">
        <v>737</v>
      </c>
      <c r="F162" s="893">
        <v>717</v>
      </c>
      <c r="G162" s="914">
        <v>2325.2100883247354</v>
      </c>
      <c r="H162" s="894">
        <f t="shared" si="4"/>
        <v>8.4899320412976564E-4</v>
      </c>
      <c r="I162" s="900">
        <f t="shared" si="5"/>
        <v>0.94563416177556858</v>
      </c>
      <c r="J162" s="949"/>
    </row>
    <row r="163" spans="2:10" ht="15" customHeight="1">
      <c r="B163" s="899" t="s">
        <v>2352</v>
      </c>
      <c r="C163" s="893" t="s">
        <v>910</v>
      </c>
      <c r="D163" s="643" t="s">
        <v>905</v>
      </c>
      <c r="E163" s="893" t="s">
        <v>13</v>
      </c>
      <c r="F163" s="893">
        <v>180</v>
      </c>
      <c r="G163" s="914">
        <v>2312.3888389259419</v>
      </c>
      <c r="H163" s="894">
        <f t="shared" si="4"/>
        <v>8.4431184064236089E-4</v>
      </c>
      <c r="I163" s="900">
        <f t="shared" si="5"/>
        <v>0.94647847361621096</v>
      </c>
      <c r="J163" s="949"/>
    </row>
    <row r="164" spans="2:10" ht="15" customHeight="1">
      <c r="B164" s="899" t="s">
        <v>1440</v>
      </c>
      <c r="C164" s="893" t="s">
        <v>313</v>
      </c>
      <c r="D164" s="643" t="s">
        <v>159</v>
      </c>
      <c r="E164" s="893" t="s">
        <v>737</v>
      </c>
      <c r="F164" s="893">
        <v>80</v>
      </c>
      <c r="G164" s="914">
        <v>2297.1720961707406</v>
      </c>
      <c r="H164" s="894">
        <f t="shared" si="4"/>
        <v>8.387558217462514E-4</v>
      </c>
      <c r="I164" s="900">
        <f t="shared" si="5"/>
        <v>0.94731722943795726</v>
      </c>
      <c r="J164" s="949"/>
    </row>
    <row r="165" spans="2:10" ht="15" customHeight="1">
      <c r="B165" s="899" t="s">
        <v>1345</v>
      </c>
      <c r="C165" s="893" t="s">
        <v>835</v>
      </c>
      <c r="D165" s="643" t="s">
        <v>1199</v>
      </c>
      <c r="E165" s="893" t="s">
        <v>737</v>
      </c>
      <c r="F165" s="893">
        <v>20</v>
      </c>
      <c r="G165" s="914">
        <v>2288.4099144802749</v>
      </c>
      <c r="H165" s="894">
        <f t="shared" si="4"/>
        <v>8.3555652687568966E-4</v>
      </c>
      <c r="I165" s="900">
        <f t="shared" si="5"/>
        <v>0.94815278596483299</v>
      </c>
      <c r="J165" s="949"/>
    </row>
    <row r="166" spans="2:10" ht="15" customHeight="1">
      <c r="B166" s="899" t="s">
        <v>730</v>
      </c>
      <c r="C166" s="893" t="s">
        <v>386</v>
      </c>
      <c r="D166" s="643" t="s">
        <v>2147</v>
      </c>
      <c r="E166" s="893" t="s">
        <v>737</v>
      </c>
      <c r="F166" s="893">
        <v>11</v>
      </c>
      <c r="G166" s="914">
        <v>2267.31575200002</v>
      </c>
      <c r="H166" s="894">
        <f t="shared" si="4"/>
        <v>8.2785451290178316E-4</v>
      </c>
      <c r="I166" s="900">
        <f t="shared" si="5"/>
        <v>0.94898064047773478</v>
      </c>
      <c r="J166" s="949"/>
    </row>
    <row r="167" spans="2:10" ht="15" customHeight="1" thickBot="1">
      <c r="B167" s="901" t="s">
        <v>2351</v>
      </c>
      <c r="C167" s="902" t="s">
        <v>1647</v>
      </c>
      <c r="D167" s="700" t="s">
        <v>861</v>
      </c>
      <c r="E167" s="902" t="s">
        <v>737</v>
      </c>
      <c r="F167" s="902">
        <v>717</v>
      </c>
      <c r="G167" s="916">
        <v>2229.6122616509565</v>
      </c>
      <c r="H167" s="903">
        <f t="shared" si="4"/>
        <v>8.1408801187073457E-4</v>
      </c>
      <c r="I167" s="904">
        <f t="shared" si="5"/>
        <v>0.94979472848960556</v>
      </c>
      <c r="J167" s="949"/>
    </row>
    <row r="168" spans="2:10" ht="15" customHeight="1">
      <c r="B168" s="909" t="s">
        <v>2350</v>
      </c>
      <c r="C168" s="910" t="s">
        <v>908</v>
      </c>
      <c r="D168" s="675" t="s">
        <v>860</v>
      </c>
      <c r="E168" s="910" t="s">
        <v>737</v>
      </c>
      <c r="F168" s="910">
        <v>440</v>
      </c>
      <c r="G168" s="917">
        <v>2193.1662548414779</v>
      </c>
      <c r="H168" s="911">
        <f t="shared" si="4"/>
        <v>8.007806499879174E-4</v>
      </c>
      <c r="I168" s="912">
        <f t="shared" si="5"/>
        <v>0.95059550913959345</v>
      </c>
      <c r="J168" s="950" t="s">
        <v>2257</v>
      </c>
    </row>
    <row r="169" spans="2:10" ht="30" customHeight="1">
      <c r="B169" s="899" t="s">
        <v>2436</v>
      </c>
      <c r="C169" s="893" t="s">
        <v>914</v>
      </c>
      <c r="D169" s="643" t="s">
        <v>969</v>
      </c>
      <c r="E169" s="893" t="s">
        <v>13</v>
      </c>
      <c r="F169" s="893">
        <v>11.74</v>
      </c>
      <c r="G169" s="914">
        <v>2169.3415252252453</v>
      </c>
      <c r="H169" s="894">
        <f t="shared" si="4"/>
        <v>7.9208163666607872E-4</v>
      </c>
      <c r="I169" s="900">
        <f t="shared" si="5"/>
        <v>0.95138759077625956</v>
      </c>
      <c r="J169" s="950"/>
    </row>
    <row r="170" spans="2:10" ht="15.75" customHeight="1">
      <c r="B170" s="899" t="s">
        <v>2407</v>
      </c>
      <c r="C170" s="893" t="s">
        <v>960</v>
      </c>
      <c r="D170" s="643" t="s">
        <v>1021</v>
      </c>
      <c r="E170" s="893" t="s">
        <v>737</v>
      </c>
      <c r="F170" s="893">
        <v>6</v>
      </c>
      <c r="G170" s="914">
        <v>2079.35693925333</v>
      </c>
      <c r="H170" s="894">
        <f t="shared" si="4"/>
        <v>7.5922598102008557E-4</v>
      </c>
      <c r="I170" s="900">
        <f t="shared" si="5"/>
        <v>0.95214681675727963</v>
      </c>
      <c r="J170" s="950"/>
    </row>
    <row r="171" spans="2:10" ht="15" customHeight="1">
      <c r="B171" s="899" t="s">
        <v>1343</v>
      </c>
      <c r="C171" s="893" t="s">
        <v>217</v>
      </c>
      <c r="D171" s="643" t="s">
        <v>1197</v>
      </c>
      <c r="E171" s="893" t="s">
        <v>737</v>
      </c>
      <c r="F171" s="893">
        <v>24</v>
      </c>
      <c r="G171" s="914">
        <v>2059.651171562411</v>
      </c>
      <c r="H171" s="894">
        <f t="shared" si="4"/>
        <v>7.5203090521349302E-4</v>
      </c>
      <c r="I171" s="900">
        <f t="shared" si="5"/>
        <v>0.95289884766249311</v>
      </c>
      <c r="J171" s="950"/>
    </row>
    <row r="172" spans="2:10" ht="30" customHeight="1">
      <c r="B172" s="899" t="s">
        <v>2411</v>
      </c>
      <c r="C172" s="893" t="s">
        <v>262</v>
      </c>
      <c r="D172" s="643" t="s">
        <v>1134</v>
      </c>
      <c r="E172" s="893" t="s">
        <v>13</v>
      </c>
      <c r="F172" s="893">
        <v>20</v>
      </c>
      <c r="G172" s="914">
        <v>2058.6819208254565</v>
      </c>
      <c r="H172" s="894">
        <f t="shared" si="4"/>
        <v>7.5167700717524528E-4</v>
      </c>
      <c r="I172" s="900">
        <f t="shared" si="5"/>
        <v>0.95365052466966838</v>
      </c>
      <c r="J172" s="950"/>
    </row>
    <row r="173" spans="2:10" ht="15" customHeight="1">
      <c r="B173" s="899" t="s">
        <v>703</v>
      </c>
      <c r="C173" s="893" t="s">
        <v>94</v>
      </c>
      <c r="D173" s="643" t="s">
        <v>1651</v>
      </c>
      <c r="E173" s="893" t="s">
        <v>4</v>
      </c>
      <c r="F173" s="893">
        <v>56.29</v>
      </c>
      <c r="G173" s="914">
        <v>2045.0845695661358</v>
      </c>
      <c r="H173" s="894">
        <f t="shared" si="4"/>
        <v>7.4671226920541909E-4</v>
      </c>
      <c r="I173" s="900">
        <f t="shared" si="5"/>
        <v>0.95439723693887379</v>
      </c>
      <c r="J173" s="950"/>
    </row>
    <row r="174" spans="2:10" ht="15" customHeight="1">
      <c r="B174" s="899" t="s">
        <v>703</v>
      </c>
      <c r="C174" s="893" t="s">
        <v>93</v>
      </c>
      <c r="D174" s="643" t="s">
        <v>396</v>
      </c>
      <c r="E174" s="893" t="s">
        <v>4</v>
      </c>
      <c r="F174" s="893">
        <v>56.12</v>
      </c>
      <c r="G174" s="914">
        <v>2038.9082615749073</v>
      </c>
      <c r="H174" s="894">
        <f t="shared" si="4"/>
        <v>7.4445714243752208E-4</v>
      </c>
      <c r="I174" s="900">
        <f t="shared" si="5"/>
        <v>0.95514169408131133</v>
      </c>
      <c r="J174" s="950"/>
    </row>
    <row r="175" spans="2:10" ht="15" customHeight="1">
      <c r="B175" s="899" t="s">
        <v>1092</v>
      </c>
      <c r="C175" s="893" t="s">
        <v>887</v>
      </c>
      <c r="D175" s="643" t="s">
        <v>903</v>
      </c>
      <c r="E175" s="893" t="s">
        <v>737</v>
      </c>
      <c r="F175" s="893">
        <v>358</v>
      </c>
      <c r="G175" s="914">
        <v>2001.3565349321943</v>
      </c>
      <c r="H175" s="894">
        <f t="shared" si="4"/>
        <v>7.307460541865797E-4</v>
      </c>
      <c r="I175" s="900">
        <f t="shared" si="5"/>
        <v>0.95587244013549788</v>
      </c>
      <c r="J175" s="950"/>
    </row>
    <row r="176" spans="2:10" ht="15" customHeight="1">
      <c r="B176" s="899" t="s">
        <v>1453</v>
      </c>
      <c r="C176" s="893" t="s">
        <v>95</v>
      </c>
      <c r="D176" s="643" t="s">
        <v>397</v>
      </c>
      <c r="E176" s="893" t="s">
        <v>4</v>
      </c>
      <c r="F176" s="893">
        <v>53.74</v>
      </c>
      <c r="G176" s="914">
        <v>1931.1174906524061</v>
      </c>
      <c r="H176" s="894">
        <f t="shared" si="4"/>
        <v>7.0509999684426278E-4</v>
      </c>
      <c r="I176" s="900">
        <f t="shared" si="5"/>
        <v>0.9565775401323422</v>
      </c>
      <c r="J176" s="950"/>
    </row>
    <row r="177" spans="2:10" ht="15" customHeight="1">
      <c r="B177" s="899" t="s">
        <v>1056</v>
      </c>
      <c r="C177" s="893" t="s">
        <v>1104</v>
      </c>
      <c r="D177" s="643" t="s">
        <v>1119</v>
      </c>
      <c r="E177" s="893" t="s">
        <v>1183</v>
      </c>
      <c r="F177" s="893">
        <v>171.19</v>
      </c>
      <c r="G177" s="914">
        <v>1909.02137386102</v>
      </c>
      <c r="H177" s="894">
        <f t="shared" si="4"/>
        <v>6.9703214392734204E-4</v>
      </c>
      <c r="I177" s="900">
        <f t="shared" si="5"/>
        <v>0.95727457227626955</v>
      </c>
      <c r="J177" s="950"/>
    </row>
    <row r="178" spans="2:10" ht="15" customHeight="1">
      <c r="B178" s="899" t="s">
        <v>1149</v>
      </c>
      <c r="C178" s="893" t="s">
        <v>208</v>
      </c>
      <c r="D178" s="643" t="s">
        <v>1502</v>
      </c>
      <c r="E178" s="893" t="s">
        <v>13</v>
      </c>
      <c r="F178" s="893">
        <v>8</v>
      </c>
      <c r="G178" s="914">
        <v>1888.6254796725766</v>
      </c>
      <c r="H178" s="894">
        <f t="shared" si="4"/>
        <v>6.8958508542493627E-4</v>
      </c>
      <c r="I178" s="900">
        <f t="shared" si="5"/>
        <v>0.95796415736169449</v>
      </c>
      <c r="J178" s="950"/>
    </row>
    <row r="179" spans="2:10" ht="30" customHeight="1">
      <c r="B179" s="899" t="s">
        <v>2437</v>
      </c>
      <c r="C179" s="893" t="s">
        <v>915</v>
      </c>
      <c r="D179" s="643" t="s">
        <v>970</v>
      </c>
      <c r="E179" s="893" t="s">
        <v>13</v>
      </c>
      <c r="F179" s="893">
        <v>8.74</v>
      </c>
      <c r="G179" s="914">
        <v>1803.7989888353422</v>
      </c>
      <c r="H179" s="894">
        <f t="shared" si="4"/>
        <v>6.5861278119634312E-4</v>
      </c>
      <c r="I179" s="900">
        <f t="shared" si="5"/>
        <v>0.95862277014289088</v>
      </c>
      <c r="J179" s="950"/>
    </row>
    <row r="180" spans="2:10" ht="15" customHeight="1">
      <c r="B180" s="899" t="s">
        <v>2423</v>
      </c>
      <c r="C180" s="893" t="s">
        <v>1614</v>
      </c>
      <c r="D180" s="643" t="s">
        <v>1611</v>
      </c>
      <c r="E180" s="893" t="s">
        <v>737</v>
      </c>
      <c r="F180" s="893">
        <v>7</v>
      </c>
      <c r="G180" s="914">
        <v>1760.3553081548703</v>
      </c>
      <c r="H180" s="894">
        <f t="shared" si="4"/>
        <v>6.4275039102123512E-4</v>
      </c>
      <c r="I180" s="900">
        <f t="shared" si="5"/>
        <v>0.95926552053391212</v>
      </c>
      <c r="J180" s="950"/>
    </row>
    <row r="181" spans="2:10" ht="15" customHeight="1">
      <c r="B181" s="899" t="s">
        <v>710</v>
      </c>
      <c r="C181" s="893" t="s">
        <v>1139</v>
      </c>
      <c r="D181" s="643" t="s">
        <v>734</v>
      </c>
      <c r="E181" s="893" t="s">
        <v>737</v>
      </c>
      <c r="F181" s="893">
        <v>2</v>
      </c>
      <c r="G181" s="914">
        <v>1747.168464916263</v>
      </c>
      <c r="H181" s="894">
        <f t="shared" si="4"/>
        <v>6.3793553994617876E-4</v>
      </c>
      <c r="I181" s="900">
        <f t="shared" si="5"/>
        <v>0.9599034560738583</v>
      </c>
      <c r="J181" s="950"/>
    </row>
    <row r="182" spans="2:10" ht="15" customHeight="1">
      <c r="B182" s="899" t="s">
        <v>2401</v>
      </c>
      <c r="C182" s="893" t="s">
        <v>952</v>
      </c>
      <c r="D182" s="643" t="s">
        <v>1013</v>
      </c>
      <c r="E182" s="893" t="s">
        <v>737</v>
      </c>
      <c r="F182" s="893">
        <v>1</v>
      </c>
      <c r="G182" s="914">
        <v>1690.699593788836</v>
      </c>
      <c r="H182" s="894">
        <f t="shared" si="4"/>
        <v>6.1731732223209424E-4</v>
      </c>
      <c r="I182" s="900">
        <f t="shared" si="5"/>
        <v>0.96052077339609043</v>
      </c>
      <c r="J182" s="950"/>
    </row>
    <row r="183" spans="2:10" ht="15" customHeight="1">
      <c r="B183" s="899" t="s">
        <v>788</v>
      </c>
      <c r="C183" s="893" t="s">
        <v>273</v>
      </c>
      <c r="D183" s="643" t="s">
        <v>745</v>
      </c>
      <c r="E183" s="893" t="s">
        <v>737</v>
      </c>
      <c r="F183" s="893">
        <v>24</v>
      </c>
      <c r="G183" s="914">
        <v>1690.4189095166143</v>
      </c>
      <c r="H183" s="894">
        <f t="shared" si="4"/>
        <v>6.1721483728210253E-4</v>
      </c>
      <c r="I183" s="900">
        <f t="shared" si="5"/>
        <v>0.96113798823337249</v>
      </c>
      <c r="J183" s="950"/>
    </row>
    <row r="184" spans="2:10" ht="15" customHeight="1">
      <c r="B184" s="899" t="s">
        <v>2351</v>
      </c>
      <c r="C184" s="893" t="s">
        <v>893</v>
      </c>
      <c r="D184" s="643" t="s">
        <v>861</v>
      </c>
      <c r="E184" s="893" t="s">
        <v>737</v>
      </c>
      <c r="F184" s="893">
        <v>536</v>
      </c>
      <c r="G184" s="914">
        <v>1666.7673253067128</v>
      </c>
      <c r="H184" s="894">
        <f t="shared" si="4"/>
        <v>6.0857904374158136E-4</v>
      </c>
      <c r="I184" s="900">
        <f t="shared" si="5"/>
        <v>0.96174656727711405</v>
      </c>
      <c r="J184" s="950"/>
    </row>
    <row r="185" spans="2:10" ht="15" customHeight="1">
      <c r="B185" s="899" t="s">
        <v>2352</v>
      </c>
      <c r="C185" s="893" t="s">
        <v>1029</v>
      </c>
      <c r="D185" s="643" t="s">
        <v>859</v>
      </c>
      <c r="E185" s="893" t="s">
        <v>13</v>
      </c>
      <c r="F185" s="893">
        <v>125</v>
      </c>
      <c r="G185" s="914">
        <v>1605.8255825874594</v>
      </c>
      <c r="H185" s="894">
        <f t="shared" si="4"/>
        <v>5.8632766711275055E-4</v>
      </c>
      <c r="I185" s="900">
        <f t="shared" si="5"/>
        <v>0.9623328949442268</v>
      </c>
      <c r="J185" s="950"/>
    </row>
    <row r="186" spans="2:10" ht="30" customHeight="1">
      <c r="B186" s="899" t="s">
        <v>2422</v>
      </c>
      <c r="C186" s="893" t="s">
        <v>1040</v>
      </c>
      <c r="D186" s="643" t="s">
        <v>1610</v>
      </c>
      <c r="E186" s="893" t="s">
        <v>737</v>
      </c>
      <c r="F186" s="893">
        <v>7</v>
      </c>
      <c r="G186" s="914">
        <v>1576.2921226752453</v>
      </c>
      <c r="H186" s="894">
        <f t="shared" si="4"/>
        <v>5.7554425150406735E-4</v>
      </c>
      <c r="I186" s="900">
        <f t="shared" si="5"/>
        <v>0.96290843919573088</v>
      </c>
      <c r="J186" s="950"/>
    </row>
    <row r="187" spans="2:10" ht="15" customHeight="1">
      <c r="B187" s="899" t="s">
        <v>758</v>
      </c>
      <c r="C187" s="893" t="s">
        <v>235</v>
      </c>
      <c r="D187" s="643" t="s">
        <v>117</v>
      </c>
      <c r="E187" s="893" t="s">
        <v>737</v>
      </c>
      <c r="F187" s="893">
        <v>14</v>
      </c>
      <c r="G187" s="914">
        <v>1552.3132939586346</v>
      </c>
      <c r="H187" s="894">
        <f t="shared" si="4"/>
        <v>5.6678897269050359E-4</v>
      </c>
      <c r="I187" s="900">
        <f t="shared" si="5"/>
        <v>0.96347522816842135</v>
      </c>
      <c r="J187" s="950"/>
    </row>
    <row r="188" spans="2:10" ht="15" customHeight="1">
      <c r="B188" s="899" t="s">
        <v>2352</v>
      </c>
      <c r="C188" s="893" t="s">
        <v>865</v>
      </c>
      <c r="D188" s="643" t="s">
        <v>859</v>
      </c>
      <c r="E188" s="893" t="s">
        <v>13</v>
      </c>
      <c r="F188" s="893">
        <v>119</v>
      </c>
      <c r="G188" s="914">
        <v>1528.7459546232612</v>
      </c>
      <c r="H188" s="894">
        <f t="shared" si="4"/>
        <v>5.5818393909133851E-4</v>
      </c>
      <c r="I188" s="900">
        <f t="shared" si="5"/>
        <v>0.9640334121075127</v>
      </c>
      <c r="J188" s="950"/>
    </row>
    <row r="189" spans="2:10" ht="15" customHeight="1">
      <c r="B189" s="899" t="s">
        <v>721</v>
      </c>
      <c r="C189" s="893" t="s">
        <v>360</v>
      </c>
      <c r="D189" s="643" t="s">
        <v>107</v>
      </c>
      <c r="E189" s="893" t="s">
        <v>4</v>
      </c>
      <c r="F189" s="893">
        <v>324.05</v>
      </c>
      <c r="G189" s="914">
        <v>1514.8915319443468</v>
      </c>
      <c r="H189" s="894">
        <f t="shared" si="4"/>
        <v>5.5312533782317776E-4</v>
      </c>
      <c r="I189" s="900">
        <f t="shared" si="5"/>
        <v>0.96458653744533585</v>
      </c>
      <c r="J189" s="950"/>
    </row>
    <row r="190" spans="2:10" ht="15" customHeight="1">
      <c r="B190" s="899" t="s">
        <v>2366</v>
      </c>
      <c r="C190" s="893" t="s">
        <v>923</v>
      </c>
      <c r="D190" s="643" t="s">
        <v>978</v>
      </c>
      <c r="E190" s="893" t="s">
        <v>737</v>
      </c>
      <c r="F190" s="893">
        <v>20</v>
      </c>
      <c r="G190" s="914">
        <v>1506.6243781467876</v>
      </c>
      <c r="H190" s="894">
        <f t="shared" si="4"/>
        <v>5.5010679019736725E-4</v>
      </c>
      <c r="I190" s="900">
        <f t="shared" si="5"/>
        <v>0.96513664423553325</v>
      </c>
      <c r="J190" s="950"/>
    </row>
    <row r="191" spans="2:10" ht="30" customHeight="1">
      <c r="B191" s="899" t="s">
        <v>1386</v>
      </c>
      <c r="C191" s="893" t="s">
        <v>1395</v>
      </c>
      <c r="D191" s="643" t="s">
        <v>2161</v>
      </c>
      <c r="E191" s="893" t="s">
        <v>737</v>
      </c>
      <c r="F191" s="893">
        <v>4</v>
      </c>
      <c r="G191" s="914">
        <v>1489.8942011981701</v>
      </c>
      <c r="H191" s="894">
        <f t="shared" si="4"/>
        <v>5.4399817807471022E-4</v>
      </c>
      <c r="I191" s="900">
        <f t="shared" si="5"/>
        <v>0.96568064241360796</v>
      </c>
      <c r="J191" s="950"/>
    </row>
    <row r="192" spans="2:10" ht="15" customHeight="1">
      <c r="B192" s="899" t="s">
        <v>1420</v>
      </c>
      <c r="C192" s="893" t="s">
        <v>293</v>
      </c>
      <c r="D192" s="643" t="s">
        <v>1625</v>
      </c>
      <c r="E192" s="893" t="s">
        <v>737</v>
      </c>
      <c r="F192" s="893">
        <v>23</v>
      </c>
      <c r="G192" s="914">
        <v>1484.8468393369801</v>
      </c>
      <c r="H192" s="894">
        <f t="shared" si="4"/>
        <v>5.4215525818525562E-4</v>
      </c>
      <c r="I192" s="900">
        <f t="shared" si="5"/>
        <v>0.9662227976717932</v>
      </c>
      <c r="J192" s="950"/>
    </row>
    <row r="193" spans="2:10" ht="15" customHeight="1">
      <c r="B193" s="899" t="s">
        <v>1563</v>
      </c>
      <c r="C193" s="893" t="s">
        <v>1562</v>
      </c>
      <c r="D193" s="643" t="s">
        <v>1559</v>
      </c>
      <c r="E193" s="893" t="s">
        <v>737</v>
      </c>
      <c r="F193" s="893">
        <v>5</v>
      </c>
      <c r="G193" s="914">
        <v>1434.4574544306161</v>
      </c>
      <c r="H193" s="894">
        <f t="shared" si="4"/>
        <v>5.2375681515398349E-4</v>
      </c>
      <c r="I193" s="900">
        <f t="shared" si="5"/>
        <v>0.96674655448694713</v>
      </c>
      <c r="J193" s="950"/>
    </row>
    <row r="194" spans="2:10" ht="15" customHeight="1">
      <c r="B194" s="899" t="s">
        <v>1438</v>
      </c>
      <c r="C194" s="893" t="s">
        <v>311</v>
      </c>
      <c r="D194" s="643" t="s">
        <v>1241</v>
      </c>
      <c r="E194" s="893" t="s">
        <v>737</v>
      </c>
      <c r="F194" s="893">
        <v>13</v>
      </c>
      <c r="G194" s="914">
        <v>1434.2508310334958</v>
      </c>
      <c r="H194" s="894">
        <f t="shared" si="4"/>
        <v>5.2368137170874377E-4</v>
      </c>
      <c r="I194" s="900">
        <f t="shared" si="5"/>
        <v>0.9672702358586559</v>
      </c>
      <c r="J194" s="950"/>
    </row>
    <row r="195" spans="2:10" ht="15" customHeight="1">
      <c r="B195" s="899" t="s">
        <v>2405</v>
      </c>
      <c r="C195" s="893" t="s">
        <v>956</v>
      </c>
      <c r="D195" s="643" t="s">
        <v>1017</v>
      </c>
      <c r="E195" s="893" t="s">
        <v>737</v>
      </c>
      <c r="F195" s="893">
        <v>16</v>
      </c>
      <c r="G195" s="914">
        <v>1420.361919143555</v>
      </c>
      <c r="H195" s="894">
        <f t="shared" ref="H195:H258" si="6">G195/$G$387</f>
        <v>5.1861017755449321E-4</v>
      </c>
      <c r="I195" s="900">
        <f t="shared" si="5"/>
        <v>0.9677888460362104</v>
      </c>
      <c r="J195" s="950"/>
    </row>
    <row r="196" spans="2:10" ht="15" customHeight="1">
      <c r="B196" s="899" t="s">
        <v>2414</v>
      </c>
      <c r="C196" s="893" t="s">
        <v>958</v>
      </c>
      <c r="D196" s="643" t="s">
        <v>1019</v>
      </c>
      <c r="E196" s="893" t="s">
        <v>737</v>
      </c>
      <c r="F196" s="893">
        <v>6</v>
      </c>
      <c r="G196" s="914">
        <v>1373.6833846988575</v>
      </c>
      <c r="H196" s="894">
        <f t="shared" si="6"/>
        <v>5.015666601874936E-4</v>
      </c>
      <c r="I196" s="900">
        <f t="shared" ref="I196:I259" si="7">H196+I195</f>
        <v>0.96829041269639793</v>
      </c>
      <c r="J196" s="950"/>
    </row>
    <row r="197" spans="2:10" ht="15" customHeight="1">
      <c r="B197" s="899" t="s">
        <v>2351</v>
      </c>
      <c r="C197" s="893" t="s">
        <v>909</v>
      </c>
      <c r="D197" s="643" t="s">
        <v>861</v>
      </c>
      <c r="E197" s="893" t="s">
        <v>737</v>
      </c>
      <c r="F197" s="893">
        <v>440</v>
      </c>
      <c r="G197" s="914">
        <v>1368.241834207003</v>
      </c>
      <c r="H197" s="894">
        <f t="shared" si="6"/>
        <v>4.9957981202667127E-4</v>
      </c>
      <c r="I197" s="900">
        <f t="shared" si="7"/>
        <v>0.96878999250842457</v>
      </c>
      <c r="J197" s="950"/>
    </row>
    <row r="198" spans="2:10" ht="15" customHeight="1">
      <c r="B198" s="899" t="s">
        <v>1423</v>
      </c>
      <c r="C198" s="893" t="s">
        <v>296</v>
      </c>
      <c r="D198" s="643" t="s">
        <v>151</v>
      </c>
      <c r="E198" s="893" t="s">
        <v>737</v>
      </c>
      <c r="F198" s="893">
        <v>46</v>
      </c>
      <c r="G198" s="914">
        <v>1360.4459417656403</v>
      </c>
      <c r="H198" s="894">
        <f t="shared" si="6"/>
        <v>4.9673333387999675E-4</v>
      </c>
      <c r="I198" s="900">
        <f t="shared" si="7"/>
        <v>0.96928672584230458</v>
      </c>
      <c r="J198" s="950"/>
    </row>
    <row r="199" spans="2:10" ht="30" customHeight="1">
      <c r="B199" s="899" t="s">
        <v>723</v>
      </c>
      <c r="C199" s="893" t="s">
        <v>367</v>
      </c>
      <c r="D199" s="643" t="s">
        <v>828</v>
      </c>
      <c r="E199" s="893" t="s">
        <v>737</v>
      </c>
      <c r="F199" s="893">
        <v>1</v>
      </c>
      <c r="G199" s="914">
        <v>1297.4816405561912</v>
      </c>
      <c r="H199" s="894">
        <f t="shared" si="6"/>
        <v>4.7374346982512503E-4</v>
      </c>
      <c r="I199" s="900">
        <f t="shared" si="7"/>
        <v>0.96976046931212967</v>
      </c>
      <c r="J199" s="950"/>
    </row>
    <row r="200" spans="2:10" ht="15" customHeight="1">
      <c r="B200" s="899" t="s">
        <v>779</v>
      </c>
      <c r="C200" s="893" t="s">
        <v>284</v>
      </c>
      <c r="D200" s="643" t="s">
        <v>180</v>
      </c>
      <c r="E200" s="893" t="s">
        <v>737</v>
      </c>
      <c r="F200" s="893">
        <v>14</v>
      </c>
      <c r="G200" s="914">
        <v>1280.1207392794965</v>
      </c>
      <c r="H200" s="894">
        <f t="shared" si="6"/>
        <v>4.6740456424601632E-4</v>
      </c>
      <c r="I200" s="900">
        <f t="shared" si="7"/>
        <v>0.97022787387637566</v>
      </c>
      <c r="J200" s="950"/>
    </row>
    <row r="201" spans="2:10" ht="15" customHeight="1">
      <c r="B201" s="899" t="s">
        <v>1330</v>
      </c>
      <c r="C201" s="893" t="s">
        <v>382</v>
      </c>
      <c r="D201" s="643" t="s">
        <v>2143</v>
      </c>
      <c r="E201" s="893" t="s">
        <v>737</v>
      </c>
      <c r="F201" s="893">
        <v>8</v>
      </c>
      <c r="G201" s="914">
        <v>1263.3177309319353</v>
      </c>
      <c r="H201" s="894">
        <f t="shared" si="6"/>
        <v>4.6126935953154976E-4</v>
      </c>
      <c r="I201" s="900">
        <f t="shared" si="7"/>
        <v>0.97068914323590716</v>
      </c>
      <c r="J201" s="950"/>
    </row>
    <row r="202" spans="2:10" ht="15" customHeight="1">
      <c r="B202" s="899" t="s">
        <v>709</v>
      </c>
      <c r="C202" s="893" t="s">
        <v>377</v>
      </c>
      <c r="D202" s="643" t="s">
        <v>2139</v>
      </c>
      <c r="E202" s="893" t="s">
        <v>737</v>
      </c>
      <c r="F202" s="893">
        <v>6</v>
      </c>
      <c r="G202" s="914">
        <v>1220.5453650980896</v>
      </c>
      <c r="H202" s="894">
        <f t="shared" si="6"/>
        <v>4.4565208344117709E-4</v>
      </c>
      <c r="I202" s="900">
        <f t="shared" si="7"/>
        <v>0.97113479531934832</v>
      </c>
      <c r="J202" s="950"/>
    </row>
    <row r="203" spans="2:10" ht="15" customHeight="1">
      <c r="B203" s="899" t="s">
        <v>2431</v>
      </c>
      <c r="C203" s="893" t="s">
        <v>870</v>
      </c>
      <c r="D203" s="643" t="s">
        <v>126</v>
      </c>
      <c r="E203" s="893" t="s">
        <v>737</v>
      </c>
      <c r="F203" s="893">
        <v>105</v>
      </c>
      <c r="G203" s="914">
        <v>1182.219092006434</v>
      </c>
      <c r="H203" s="894">
        <f t="shared" si="6"/>
        <v>4.3165818862805054E-4</v>
      </c>
      <c r="I203" s="900">
        <f t="shared" si="7"/>
        <v>0.97156645350797632</v>
      </c>
      <c r="J203" s="950"/>
    </row>
    <row r="204" spans="2:10" ht="15" customHeight="1">
      <c r="B204" s="899" t="s">
        <v>1689</v>
      </c>
      <c r="C204" s="893" t="s">
        <v>403</v>
      </c>
      <c r="D204" s="643" t="s">
        <v>1285</v>
      </c>
      <c r="E204" s="893" t="s">
        <v>737</v>
      </c>
      <c r="F204" s="893">
        <v>1</v>
      </c>
      <c r="G204" s="914">
        <v>1169.3369136889157</v>
      </c>
      <c r="H204" s="894">
        <f t="shared" si="6"/>
        <v>4.269545784463827E-4</v>
      </c>
      <c r="I204" s="900">
        <f t="shared" si="7"/>
        <v>0.97199340808642276</v>
      </c>
      <c r="J204" s="950"/>
    </row>
    <row r="205" spans="2:10" ht="15" customHeight="1">
      <c r="B205" s="899" t="s">
        <v>1540</v>
      </c>
      <c r="C205" s="893" t="s">
        <v>1520</v>
      </c>
      <c r="D205" s="643" t="s">
        <v>1541</v>
      </c>
      <c r="E205" s="893" t="s">
        <v>818</v>
      </c>
      <c r="F205" s="893">
        <v>2</v>
      </c>
      <c r="G205" s="914">
        <v>1161.2551842137452</v>
      </c>
      <c r="H205" s="894">
        <f t="shared" si="6"/>
        <v>4.2400373394571296E-4</v>
      </c>
      <c r="I205" s="900">
        <f t="shared" si="7"/>
        <v>0.97241741182036845</v>
      </c>
      <c r="J205" s="950"/>
    </row>
    <row r="206" spans="2:10" ht="15" customHeight="1">
      <c r="B206" s="899" t="s">
        <v>726</v>
      </c>
      <c r="C206" s="893" t="s">
        <v>372</v>
      </c>
      <c r="D206" s="643" t="s">
        <v>2134</v>
      </c>
      <c r="E206" s="893" t="s">
        <v>737</v>
      </c>
      <c r="F206" s="893">
        <v>1</v>
      </c>
      <c r="G206" s="914">
        <v>1072.3357729005311</v>
      </c>
      <c r="H206" s="894">
        <f t="shared" si="6"/>
        <v>3.9153700059581226E-4</v>
      </c>
      <c r="I206" s="900">
        <f t="shared" si="7"/>
        <v>0.97280894882096425</v>
      </c>
      <c r="J206" s="950"/>
    </row>
    <row r="207" spans="2:10" ht="15" customHeight="1">
      <c r="B207" s="899" t="s">
        <v>1425</v>
      </c>
      <c r="C207" s="893" t="s">
        <v>299</v>
      </c>
      <c r="D207" s="643" t="s">
        <v>2443</v>
      </c>
      <c r="E207" s="893" t="s">
        <v>737</v>
      </c>
      <c r="F207" s="893">
        <v>41</v>
      </c>
      <c r="G207" s="914">
        <v>1046.2580475206576</v>
      </c>
      <c r="H207" s="894">
        <f t="shared" si="6"/>
        <v>3.8201536135218324E-4</v>
      </c>
      <c r="I207" s="900">
        <f t="shared" si="7"/>
        <v>0.97319096418231643</v>
      </c>
      <c r="J207" s="950"/>
    </row>
    <row r="208" spans="2:10" ht="30" customHeight="1">
      <c r="B208" s="899" t="s">
        <v>1410</v>
      </c>
      <c r="C208" s="893" t="s">
        <v>1621</v>
      </c>
      <c r="D208" s="643" t="s">
        <v>172</v>
      </c>
      <c r="E208" s="893" t="s">
        <v>13</v>
      </c>
      <c r="F208" s="893">
        <v>122</v>
      </c>
      <c r="G208" s="914">
        <v>1036.0281332188465</v>
      </c>
      <c r="H208" s="894">
        <f t="shared" si="6"/>
        <v>3.7828016006233978E-4</v>
      </c>
      <c r="I208" s="900">
        <f t="shared" si="7"/>
        <v>0.97356924434237879</v>
      </c>
      <c r="J208" s="950"/>
    </row>
    <row r="209" spans="2:10" ht="15" customHeight="1">
      <c r="B209" s="899" t="s">
        <v>1350</v>
      </c>
      <c r="C209" s="893" t="s">
        <v>840</v>
      </c>
      <c r="D209" s="643" t="s">
        <v>1204</v>
      </c>
      <c r="E209" s="893" t="s">
        <v>737</v>
      </c>
      <c r="F209" s="893">
        <v>2</v>
      </c>
      <c r="G209" s="914">
        <v>1035.3095674145404</v>
      </c>
      <c r="H209" s="894">
        <f t="shared" si="6"/>
        <v>3.7801779345398938E-4</v>
      </c>
      <c r="I209" s="900">
        <f t="shared" si="7"/>
        <v>0.97394726213583283</v>
      </c>
      <c r="J209" s="950"/>
    </row>
    <row r="210" spans="2:10" ht="15" customHeight="1">
      <c r="B210" s="899" t="s">
        <v>2350</v>
      </c>
      <c r="C210" s="893" t="s">
        <v>1030</v>
      </c>
      <c r="D210" s="643" t="s">
        <v>860</v>
      </c>
      <c r="E210" s="893" t="s">
        <v>737</v>
      </c>
      <c r="F210" s="893">
        <v>207</v>
      </c>
      <c r="G210" s="914">
        <v>1031.7850335276953</v>
      </c>
      <c r="H210" s="894">
        <f t="shared" si="6"/>
        <v>3.7673089669886114E-4</v>
      </c>
      <c r="I210" s="900">
        <f t="shared" si="7"/>
        <v>0.9743239930325317</v>
      </c>
      <c r="J210" s="950"/>
    </row>
    <row r="211" spans="2:10" ht="15" customHeight="1">
      <c r="B211" s="899" t="s">
        <v>1263</v>
      </c>
      <c r="C211" s="893" t="s">
        <v>373</v>
      </c>
      <c r="D211" s="643" t="s">
        <v>2135</v>
      </c>
      <c r="E211" s="893" t="s">
        <v>737</v>
      </c>
      <c r="F211" s="893">
        <v>1</v>
      </c>
      <c r="G211" s="914">
        <v>1030.5980812901064</v>
      </c>
      <c r="H211" s="894">
        <f t="shared" si="6"/>
        <v>3.7629751031868005E-4</v>
      </c>
      <c r="I211" s="900">
        <f t="shared" si="7"/>
        <v>0.97470029054285034</v>
      </c>
      <c r="J211" s="950"/>
    </row>
    <row r="212" spans="2:10" ht="15" customHeight="1">
      <c r="B212" s="899" t="s">
        <v>769</v>
      </c>
      <c r="C212" s="893" t="s">
        <v>38</v>
      </c>
      <c r="D212" s="643" t="s">
        <v>1098</v>
      </c>
      <c r="E212" s="893" t="s">
        <v>4</v>
      </c>
      <c r="F212" s="893">
        <v>69.84</v>
      </c>
      <c r="G212" s="914">
        <v>1016.1420245967195</v>
      </c>
      <c r="H212" s="894">
        <f t="shared" si="6"/>
        <v>3.7101923720571475E-4</v>
      </c>
      <c r="I212" s="900">
        <f t="shared" si="7"/>
        <v>0.97507130978005607</v>
      </c>
      <c r="J212" s="950"/>
    </row>
    <row r="213" spans="2:10" ht="30" customHeight="1">
      <c r="B213" s="899" t="s">
        <v>1384</v>
      </c>
      <c r="C213" s="893" t="s">
        <v>1393</v>
      </c>
      <c r="D213" s="643" t="s">
        <v>2159</v>
      </c>
      <c r="E213" s="893" t="s">
        <v>737</v>
      </c>
      <c r="F213" s="893">
        <v>3</v>
      </c>
      <c r="G213" s="914">
        <v>1014.6731143275836</v>
      </c>
      <c r="H213" s="894">
        <f t="shared" si="6"/>
        <v>3.7048290079369131E-4</v>
      </c>
      <c r="I213" s="900">
        <f t="shared" si="7"/>
        <v>0.97544179268084974</v>
      </c>
      <c r="J213" s="950"/>
    </row>
    <row r="214" spans="2:10" ht="15" customHeight="1">
      <c r="B214" s="899" t="s">
        <v>2431</v>
      </c>
      <c r="C214" s="893" t="s">
        <v>1033</v>
      </c>
      <c r="D214" s="643" t="s">
        <v>126</v>
      </c>
      <c r="E214" s="893" t="s">
        <v>15</v>
      </c>
      <c r="F214" s="893">
        <v>90</v>
      </c>
      <c r="G214" s="914">
        <v>1013.3306502912292</v>
      </c>
      <c r="H214" s="894">
        <f t="shared" si="6"/>
        <v>3.6999273310975756E-4</v>
      </c>
      <c r="I214" s="900">
        <f t="shared" si="7"/>
        <v>0.97581178541395952</v>
      </c>
      <c r="J214" s="950"/>
    </row>
    <row r="215" spans="2:10" ht="15" customHeight="1">
      <c r="B215" s="899" t="s">
        <v>785</v>
      </c>
      <c r="C215" s="893" t="s">
        <v>287</v>
      </c>
      <c r="D215" s="643" t="s">
        <v>2311</v>
      </c>
      <c r="E215" s="893" t="s">
        <v>737</v>
      </c>
      <c r="F215" s="893">
        <v>14</v>
      </c>
      <c r="G215" s="914">
        <v>1005.0807627011559</v>
      </c>
      <c r="H215" s="894">
        <f t="shared" si="6"/>
        <v>3.6698048981442035E-4</v>
      </c>
      <c r="I215" s="900">
        <f t="shared" si="7"/>
        <v>0.97617876590377395</v>
      </c>
      <c r="J215" s="950"/>
    </row>
    <row r="216" spans="2:10" ht="15" customHeight="1">
      <c r="B216" s="899" t="s">
        <v>2350</v>
      </c>
      <c r="C216" s="893" t="s">
        <v>866</v>
      </c>
      <c r="D216" s="643" t="s">
        <v>860</v>
      </c>
      <c r="E216" s="893" t="s">
        <v>737</v>
      </c>
      <c r="F216" s="893">
        <v>197</v>
      </c>
      <c r="G216" s="914">
        <v>981.94034591766183</v>
      </c>
      <c r="H216" s="894">
        <f t="shared" si="6"/>
        <v>3.5853133647186305E-4</v>
      </c>
      <c r="I216" s="900">
        <f t="shared" si="7"/>
        <v>0.97653729724024585</v>
      </c>
      <c r="J216" s="950"/>
    </row>
    <row r="217" spans="2:10" ht="15" customHeight="1">
      <c r="B217" s="899" t="s">
        <v>1421</v>
      </c>
      <c r="C217" s="893" t="s">
        <v>294</v>
      </c>
      <c r="D217" s="643" t="s">
        <v>149</v>
      </c>
      <c r="E217" s="893" t="s">
        <v>737</v>
      </c>
      <c r="F217" s="893">
        <v>23</v>
      </c>
      <c r="G217" s="914">
        <v>973.36552604519318</v>
      </c>
      <c r="H217" s="894">
        <f t="shared" si="6"/>
        <v>3.5540045215525157E-4</v>
      </c>
      <c r="I217" s="900">
        <f t="shared" si="7"/>
        <v>0.97689269769240106</v>
      </c>
      <c r="J217" s="950"/>
    </row>
    <row r="218" spans="2:10" ht="15" customHeight="1">
      <c r="B218" s="899" t="s">
        <v>2415</v>
      </c>
      <c r="C218" s="893" t="s">
        <v>264</v>
      </c>
      <c r="D218" s="643" t="s">
        <v>1599</v>
      </c>
      <c r="E218" s="893" t="s">
        <v>737</v>
      </c>
      <c r="F218" s="893">
        <v>4</v>
      </c>
      <c r="G218" s="914">
        <v>957.64085699903717</v>
      </c>
      <c r="H218" s="894">
        <f t="shared" si="6"/>
        <v>3.4965897648197398E-4</v>
      </c>
      <c r="I218" s="900">
        <f t="shared" si="7"/>
        <v>0.97724235666888304</v>
      </c>
      <c r="J218" s="950"/>
    </row>
    <row r="219" spans="2:10" ht="15" customHeight="1">
      <c r="B219" s="899" t="s">
        <v>1655</v>
      </c>
      <c r="C219" s="893" t="s">
        <v>1400</v>
      </c>
      <c r="D219" s="643" t="s">
        <v>1658</v>
      </c>
      <c r="E219" s="893" t="s">
        <v>737</v>
      </c>
      <c r="F219" s="893">
        <v>4</v>
      </c>
      <c r="G219" s="914">
        <v>951.57075599586756</v>
      </c>
      <c r="H219" s="894">
        <f t="shared" si="6"/>
        <v>3.4744262858035909E-4</v>
      </c>
      <c r="I219" s="900">
        <f t="shared" si="7"/>
        <v>0.97758979929746337</v>
      </c>
      <c r="J219" s="950"/>
    </row>
    <row r="220" spans="2:10" ht="15" customHeight="1">
      <c r="B220" s="899" t="s">
        <v>1675</v>
      </c>
      <c r="C220" s="893" t="s">
        <v>318</v>
      </c>
      <c r="D220" s="643" t="s">
        <v>1633</v>
      </c>
      <c r="E220" s="893" t="s">
        <v>737</v>
      </c>
      <c r="F220" s="893">
        <v>45</v>
      </c>
      <c r="G220" s="914">
        <v>944.36305220847998</v>
      </c>
      <c r="H220" s="894">
        <f t="shared" si="6"/>
        <v>3.4481091303620315E-4</v>
      </c>
      <c r="I220" s="900">
        <f t="shared" si="7"/>
        <v>0.97793461021049954</v>
      </c>
      <c r="J220" s="950"/>
    </row>
    <row r="221" spans="2:10" ht="15" customHeight="1">
      <c r="B221" s="899" t="s">
        <v>1444</v>
      </c>
      <c r="C221" s="893" t="s">
        <v>321</v>
      </c>
      <c r="D221" s="643" t="s">
        <v>153</v>
      </c>
      <c r="E221" s="893" t="s">
        <v>737</v>
      </c>
      <c r="F221" s="893">
        <v>2</v>
      </c>
      <c r="G221" s="914">
        <v>940.17963970746064</v>
      </c>
      <c r="H221" s="894">
        <f t="shared" si="6"/>
        <v>3.432834429803701E-4</v>
      </c>
      <c r="I221" s="900">
        <f t="shared" si="7"/>
        <v>0.97827789365347995</v>
      </c>
      <c r="J221" s="950"/>
    </row>
    <row r="222" spans="2:10" ht="15" customHeight="1">
      <c r="B222" s="899" t="s">
        <v>753</v>
      </c>
      <c r="C222" s="893" t="s">
        <v>221</v>
      </c>
      <c r="D222" s="643" t="s">
        <v>130</v>
      </c>
      <c r="E222" s="893" t="s">
        <v>737</v>
      </c>
      <c r="F222" s="893">
        <v>66</v>
      </c>
      <c r="G222" s="914">
        <v>925.26480566093733</v>
      </c>
      <c r="H222" s="894">
        <f t="shared" si="6"/>
        <v>3.3783765861456052E-4</v>
      </c>
      <c r="I222" s="900">
        <f t="shared" si="7"/>
        <v>0.97861573131209456</v>
      </c>
      <c r="J222" s="950"/>
    </row>
    <row r="223" spans="2:10" ht="15" customHeight="1">
      <c r="B223" s="899" t="s">
        <v>759</v>
      </c>
      <c r="C223" s="893" t="s">
        <v>236</v>
      </c>
      <c r="D223" s="643" t="s">
        <v>122</v>
      </c>
      <c r="E223" s="893" t="s">
        <v>737</v>
      </c>
      <c r="F223" s="893">
        <v>38</v>
      </c>
      <c r="G223" s="914">
        <v>923.72495006829786</v>
      </c>
      <c r="H223" s="894">
        <f t="shared" si="6"/>
        <v>3.3727541826472873E-4</v>
      </c>
      <c r="I223" s="900">
        <f t="shared" si="7"/>
        <v>0.97895300673035934</v>
      </c>
      <c r="J223" s="950"/>
    </row>
    <row r="224" spans="2:10" ht="15" customHeight="1">
      <c r="B224" s="899" t="s">
        <v>2352</v>
      </c>
      <c r="C224" s="893" t="s">
        <v>851</v>
      </c>
      <c r="D224" s="643" t="s">
        <v>859</v>
      </c>
      <c r="E224" s="893" t="s">
        <v>13</v>
      </c>
      <c r="F224" s="893">
        <v>71</v>
      </c>
      <c r="G224" s="914">
        <v>912.10893090967693</v>
      </c>
      <c r="H224" s="894">
        <f t="shared" si="6"/>
        <v>3.330341149200423E-4</v>
      </c>
      <c r="I224" s="900">
        <f t="shared" si="7"/>
        <v>0.97928604084527937</v>
      </c>
      <c r="J224" s="950"/>
    </row>
    <row r="225" spans="2:10" ht="30" customHeight="1">
      <c r="B225" s="899" t="s">
        <v>1401</v>
      </c>
      <c r="C225" s="893" t="s">
        <v>1654</v>
      </c>
      <c r="D225" s="643" t="s">
        <v>1552</v>
      </c>
      <c r="E225" s="893" t="s">
        <v>737</v>
      </c>
      <c r="F225" s="893">
        <v>4</v>
      </c>
      <c r="G225" s="914">
        <v>911.19925362689219</v>
      </c>
      <c r="H225" s="894">
        <f t="shared" si="6"/>
        <v>3.3270196866155437E-4</v>
      </c>
      <c r="I225" s="900">
        <f t="shared" si="7"/>
        <v>0.9796187428139409</v>
      </c>
      <c r="J225" s="950"/>
    </row>
    <row r="226" spans="2:10" ht="15" customHeight="1">
      <c r="B226" s="899" t="s">
        <v>2417</v>
      </c>
      <c r="C226" s="893" t="s">
        <v>1603</v>
      </c>
      <c r="D226" s="643" t="s">
        <v>1601</v>
      </c>
      <c r="E226" s="893" t="s">
        <v>737</v>
      </c>
      <c r="F226" s="893">
        <v>5</v>
      </c>
      <c r="G226" s="914">
        <v>909.02104898166488</v>
      </c>
      <c r="H226" s="894">
        <f t="shared" si="6"/>
        <v>3.3190665087487893E-4</v>
      </c>
      <c r="I226" s="900">
        <f t="shared" si="7"/>
        <v>0.9799506494648158</v>
      </c>
      <c r="J226" s="950"/>
    </row>
    <row r="227" spans="2:10" ht="15" customHeight="1">
      <c r="B227" s="899" t="s">
        <v>2111</v>
      </c>
      <c r="C227" s="893" t="s">
        <v>385</v>
      </c>
      <c r="D227" s="643" t="s">
        <v>2146</v>
      </c>
      <c r="E227" s="893" t="s">
        <v>737</v>
      </c>
      <c r="F227" s="893">
        <v>5</v>
      </c>
      <c r="G227" s="914">
        <v>870.20505307089343</v>
      </c>
      <c r="H227" s="894">
        <f t="shared" si="6"/>
        <v>3.1773394583405534E-4</v>
      </c>
      <c r="I227" s="900">
        <f t="shared" si="7"/>
        <v>0.98026838341064981</v>
      </c>
      <c r="J227" s="950"/>
    </row>
    <row r="228" spans="2:10" ht="15" customHeight="1">
      <c r="B228" s="899" t="s">
        <v>762</v>
      </c>
      <c r="C228" s="893" t="s">
        <v>877</v>
      </c>
      <c r="D228" s="643" t="s">
        <v>124</v>
      </c>
      <c r="E228" s="893" t="s">
        <v>737</v>
      </c>
      <c r="F228" s="893">
        <v>16</v>
      </c>
      <c r="G228" s="914">
        <v>867.39907620309373</v>
      </c>
      <c r="H228" s="894">
        <f t="shared" si="6"/>
        <v>3.1670941247955592E-4</v>
      </c>
      <c r="I228" s="900">
        <f t="shared" si="7"/>
        <v>0.98058509282312933</v>
      </c>
      <c r="J228" s="950"/>
    </row>
    <row r="229" spans="2:10" ht="15" customHeight="1">
      <c r="B229" s="899" t="s">
        <v>2354</v>
      </c>
      <c r="C229" s="893" t="s">
        <v>256</v>
      </c>
      <c r="D229" s="643" t="s">
        <v>912</v>
      </c>
      <c r="E229" s="893" t="s">
        <v>737</v>
      </c>
      <c r="F229" s="893">
        <v>4</v>
      </c>
      <c r="G229" s="914">
        <v>861.04838249525267</v>
      </c>
      <c r="H229" s="894">
        <f t="shared" si="6"/>
        <v>3.1439061306158533E-4</v>
      </c>
      <c r="I229" s="900">
        <f t="shared" si="7"/>
        <v>0.98089948343619093</v>
      </c>
      <c r="J229" s="950"/>
    </row>
    <row r="230" spans="2:10" ht="15" customHeight="1">
      <c r="B230" s="899" t="s">
        <v>1340</v>
      </c>
      <c r="C230" s="893" t="s">
        <v>214</v>
      </c>
      <c r="D230" s="643" t="s">
        <v>1194</v>
      </c>
      <c r="E230" s="893" t="s">
        <v>737</v>
      </c>
      <c r="F230" s="893">
        <v>2</v>
      </c>
      <c r="G230" s="914">
        <v>851.55186775105915</v>
      </c>
      <c r="H230" s="894">
        <f t="shared" si="6"/>
        <v>3.1092319455982436E-4</v>
      </c>
      <c r="I230" s="900">
        <f t="shared" si="7"/>
        <v>0.98121040663075076</v>
      </c>
      <c r="J230" s="950"/>
    </row>
    <row r="231" spans="2:10" ht="15" customHeight="1">
      <c r="B231" s="899" t="s">
        <v>1478</v>
      </c>
      <c r="C231" s="893" t="s">
        <v>1523</v>
      </c>
      <c r="D231" s="643" t="s">
        <v>1522</v>
      </c>
      <c r="E231" s="893" t="s">
        <v>737</v>
      </c>
      <c r="F231" s="893">
        <v>2</v>
      </c>
      <c r="G231" s="914">
        <v>849.48611101412803</v>
      </c>
      <c r="H231" s="894">
        <f t="shared" si="6"/>
        <v>3.1016893435776953E-4</v>
      </c>
      <c r="I231" s="900">
        <f t="shared" si="7"/>
        <v>0.98152057556510852</v>
      </c>
      <c r="J231" s="950"/>
    </row>
    <row r="232" spans="2:10" ht="15" customHeight="1">
      <c r="B232" s="899" t="s">
        <v>2409</v>
      </c>
      <c r="C232" s="893" t="s">
        <v>961</v>
      </c>
      <c r="D232" s="643" t="s">
        <v>1133</v>
      </c>
      <c r="E232" s="893" t="s">
        <v>13</v>
      </c>
      <c r="F232" s="893">
        <v>15</v>
      </c>
      <c r="G232" s="914">
        <v>849.13901189963735</v>
      </c>
      <c r="H232" s="894">
        <f t="shared" si="6"/>
        <v>3.1004219966362652E-4</v>
      </c>
      <c r="I232" s="900">
        <f t="shared" si="7"/>
        <v>0.9818306177647721</v>
      </c>
      <c r="J232" s="950"/>
    </row>
    <row r="233" spans="2:10" ht="15" customHeight="1">
      <c r="B233" s="899" t="s">
        <v>1303</v>
      </c>
      <c r="C233" s="893" t="s">
        <v>364</v>
      </c>
      <c r="D233" s="643" t="s">
        <v>31</v>
      </c>
      <c r="E233" s="893" t="s">
        <v>737</v>
      </c>
      <c r="F233" s="893">
        <v>3</v>
      </c>
      <c r="G233" s="914">
        <v>842.2717926146596</v>
      </c>
      <c r="H233" s="894">
        <f t="shared" si="6"/>
        <v>3.0753480365090086E-4</v>
      </c>
      <c r="I233" s="900">
        <f t="shared" si="7"/>
        <v>0.98213815256842296</v>
      </c>
      <c r="J233" s="950"/>
    </row>
    <row r="234" spans="2:10" ht="15" customHeight="1">
      <c r="B234" s="899" t="s">
        <v>1650</v>
      </c>
      <c r="C234" s="893" t="s">
        <v>1623</v>
      </c>
      <c r="D234" s="643" t="s">
        <v>147</v>
      </c>
      <c r="E234" s="893" t="s">
        <v>737</v>
      </c>
      <c r="F234" s="893">
        <v>11</v>
      </c>
      <c r="G234" s="914">
        <v>817.69323071453096</v>
      </c>
      <c r="H234" s="894">
        <f t="shared" si="6"/>
        <v>2.9856054703414662E-4</v>
      </c>
      <c r="I234" s="900">
        <f t="shared" si="7"/>
        <v>0.98243671311545711</v>
      </c>
      <c r="J234" s="950"/>
    </row>
    <row r="235" spans="2:10" ht="15" customHeight="1">
      <c r="B235" s="899" t="s">
        <v>2432</v>
      </c>
      <c r="C235" s="893" t="s">
        <v>274</v>
      </c>
      <c r="D235" s="643" t="s">
        <v>127</v>
      </c>
      <c r="E235" s="893" t="s">
        <v>13</v>
      </c>
      <c r="F235" s="893">
        <v>82</v>
      </c>
      <c r="G235" s="914">
        <v>810.98482186306842</v>
      </c>
      <c r="H235" s="894">
        <f t="shared" si="6"/>
        <v>2.9611113674042166E-4</v>
      </c>
      <c r="I235" s="900">
        <f t="shared" si="7"/>
        <v>0.98273282425219755</v>
      </c>
      <c r="J235" s="950"/>
    </row>
    <row r="236" spans="2:10" ht="15" customHeight="1">
      <c r="B236" s="899" t="s">
        <v>1347</v>
      </c>
      <c r="C236" s="893" t="s">
        <v>837</v>
      </c>
      <c r="D236" s="643" t="s">
        <v>1201</v>
      </c>
      <c r="E236" s="893" t="s">
        <v>737</v>
      </c>
      <c r="F236" s="893">
        <v>7</v>
      </c>
      <c r="G236" s="914">
        <v>800.94347006809619</v>
      </c>
      <c r="H236" s="894">
        <f t="shared" si="6"/>
        <v>2.9244478440649136E-4</v>
      </c>
      <c r="I236" s="900">
        <f t="shared" si="7"/>
        <v>0.98302526903660403</v>
      </c>
      <c r="J236" s="950"/>
    </row>
    <row r="237" spans="2:10" ht="15" customHeight="1">
      <c r="B237" s="899" t="s">
        <v>780</v>
      </c>
      <c r="C237" s="893" t="s">
        <v>285</v>
      </c>
      <c r="D237" s="643" t="s">
        <v>2314</v>
      </c>
      <c r="E237" s="893" t="s">
        <v>737</v>
      </c>
      <c r="F237" s="893">
        <v>23</v>
      </c>
      <c r="G237" s="914">
        <v>798.55123548469464</v>
      </c>
      <c r="H237" s="894">
        <f t="shared" si="6"/>
        <v>2.9157131885850066E-4</v>
      </c>
      <c r="I237" s="900">
        <f t="shared" si="7"/>
        <v>0.98331684035546252</v>
      </c>
      <c r="J237" s="950"/>
    </row>
    <row r="238" spans="2:10" ht="15" customHeight="1">
      <c r="B238" s="899" t="s">
        <v>1328</v>
      </c>
      <c r="C238" s="893" t="s">
        <v>378</v>
      </c>
      <c r="D238" s="643" t="s">
        <v>2140</v>
      </c>
      <c r="E238" s="893" t="s">
        <v>737</v>
      </c>
      <c r="F238" s="893">
        <v>1</v>
      </c>
      <c r="G238" s="914">
        <v>795.16368975184957</v>
      </c>
      <c r="H238" s="894">
        <f t="shared" si="6"/>
        <v>2.9033443995439426E-4</v>
      </c>
      <c r="I238" s="900">
        <f t="shared" si="7"/>
        <v>0.98360717479541693</v>
      </c>
      <c r="J238" s="950"/>
    </row>
    <row r="239" spans="2:10" ht="30" customHeight="1">
      <c r="B239" s="899" t="s">
        <v>1570</v>
      </c>
      <c r="C239" s="893" t="s">
        <v>1051</v>
      </c>
      <c r="D239" s="643" t="s">
        <v>1568</v>
      </c>
      <c r="E239" s="893" t="s">
        <v>737</v>
      </c>
      <c r="F239" s="893">
        <v>1</v>
      </c>
      <c r="G239" s="914">
        <v>769.87624381074181</v>
      </c>
      <c r="H239" s="894">
        <f t="shared" si="6"/>
        <v>2.8110135178674949E-4</v>
      </c>
      <c r="I239" s="900">
        <f t="shared" si="7"/>
        <v>0.98388827614720364</v>
      </c>
      <c r="J239" s="950"/>
    </row>
    <row r="240" spans="2:10" ht="15" customHeight="1">
      <c r="B240" s="899" t="s">
        <v>761</v>
      </c>
      <c r="C240" s="893" t="s">
        <v>238</v>
      </c>
      <c r="D240" s="643" t="s">
        <v>120</v>
      </c>
      <c r="E240" s="893" t="s">
        <v>737</v>
      </c>
      <c r="F240" s="893">
        <v>62</v>
      </c>
      <c r="G240" s="914">
        <v>751.85346066174463</v>
      </c>
      <c r="H240" s="894">
        <f t="shared" si="6"/>
        <v>2.745207763411874E-4</v>
      </c>
      <c r="I240" s="900">
        <f t="shared" si="7"/>
        <v>0.9841627969235448</v>
      </c>
      <c r="J240" s="950"/>
    </row>
    <row r="241" spans="2:10" ht="15" customHeight="1">
      <c r="B241" s="899" t="s">
        <v>1680</v>
      </c>
      <c r="C241" s="893" t="s">
        <v>1684</v>
      </c>
      <c r="D241" s="643" t="s">
        <v>2313</v>
      </c>
      <c r="E241" s="893" t="s">
        <v>737</v>
      </c>
      <c r="F241" s="893">
        <v>91</v>
      </c>
      <c r="G241" s="914">
        <v>735.77171468057259</v>
      </c>
      <c r="H241" s="894">
        <f t="shared" si="6"/>
        <v>2.6864892281831148E-4</v>
      </c>
      <c r="I241" s="900">
        <f t="shared" si="7"/>
        <v>0.98443144584636311</v>
      </c>
      <c r="J241" s="950"/>
    </row>
    <row r="242" spans="2:10" ht="15" customHeight="1">
      <c r="B242" s="899" t="s">
        <v>1349</v>
      </c>
      <c r="C242" s="893" t="s">
        <v>839</v>
      </c>
      <c r="D242" s="643" t="s">
        <v>1203</v>
      </c>
      <c r="E242" s="893" t="s">
        <v>737</v>
      </c>
      <c r="F242" s="893">
        <v>5</v>
      </c>
      <c r="G242" s="914">
        <v>732.38196337482805</v>
      </c>
      <c r="H242" s="894">
        <f t="shared" si="6"/>
        <v>2.674112386035743E-4</v>
      </c>
      <c r="I242" s="900">
        <f t="shared" si="7"/>
        <v>0.98469885708496663</v>
      </c>
      <c r="J242" s="950"/>
    </row>
    <row r="243" spans="2:10" ht="15" customHeight="1">
      <c r="B243" s="899" t="s">
        <v>830</v>
      </c>
      <c r="C243" s="893" t="s">
        <v>26</v>
      </c>
      <c r="D243" s="643" t="s">
        <v>335</v>
      </c>
      <c r="E243" s="893" t="s">
        <v>4</v>
      </c>
      <c r="F243" s="893">
        <v>255.09</v>
      </c>
      <c r="G243" s="914">
        <v>729.33367249182584</v>
      </c>
      <c r="H243" s="894">
        <f t="shared" si="6"/>
        <v>2.6629823025354425E-4</v>
      </c>
      <c r="I243" s="900">
        <f t="shared" si="7"/>
        <v>0.98496515531522022</v>
      </c>
      <c r="J243" s="950"/>
    </row>
    <row r="244" spans="2:10" ht="15" customHeight="1">
      <c r="B244" s="899" t="s">
        <v>711</v>
      </c>
      <c r="C244" s="893" t="s">
        <v>1140</v>
      </c>
      <c r="D244" s="643" t="s">
        <v>2152</v>
      </c>
      <c r="E244" s="893" t="s">
        <v>737</v>
      </c>
      <c r="F244" s="893">
        <v>2</v>
      </c>
      <c r="G244" s="914">
        <v>710.77270162437844</v>
      </c>
      <c r="H244" s="894">
        <f t="shared" si="6"/>
        <v>2.5952114881576898E-4</v>
      </c>
      <c r="I244" s="900">
        <f t="shared" si="7"/>
        <v>0.985224676464036</v>
      </c>
      <c r="J244" s="950"/>
    </row>
    <row r="245" spans="2:10" ht="15" customHeight="1">
      <c r="B245" s="899" t="s">
        <v>1344</v>
      </c>
      <c r="C245" s="893" t="s">
        <v>218</v>
      </c>
      <c r="D245" s="643" t="s">
        <v>1198</v>
      </c>
      <c r="E245" s="893" t="s">
        <v>737</v>
      </c>
      <c r="F245" s="893">
        <v>8</v>
      </c>
      <c r="G245" s="914">
        <v>686.55039052080372</v>
      </c>
      <c r="H245" s="894">
        <f t="shared" si="6"/>
        <v>2.5067696840449773E-4</v>
      </c>
      <c r="I245" s="900">
        <f t="shared" si="7"/>
        <v>0.98547535343244053</v>
      </c>
      <c r="J245" s="950"/>
    </row>
    <row r="246" spans="2:10" ht="30" customHeight="1">
      <c r="B246" s="899" t="s">
        <v>2279</v>
      </c>
      <c r="C246" s="893" t="s">
        <v>2280</v>
      </c>
      <c r="D246" s="643" t="s">
        <v>2306</v>
      </c>
      <c r="E246" s="893" t="s">
        <v>13</v>
      </c>
      <c r="F246" s="893">
        <v>28.74</v>
      </c>
      <c r="G246" s="914">
        <v>683.79814191248215</v>
      </c>
      <c r="H246" s="894">
        <f t="shared" si="6"/>
        <v>2.4967205260085774E-4</v>
      </c>
      <c r="I246" s="900">
        <f t="shared" si="7"/>
        <v>0.98572502548504137</v>
      </c>
      <c r="J246" s="950"/>
    </row>
    <row r="247" spans="2:10" ht="15" customHeight="1">
      <c r="B247" s="899" t="s">
        <v>2120</v>
      </c>
      <c r="C247" s="893" t="s">
        <v>387</v>
      </c>
      <c r="D247" s="643" t="s">
        <v>2149</v>
      </c>
      <c r="E247" s="893" t="s">
        <v>737</v>
      </c>
      <c r="F247" s="893">
        <v>9</v>
      </c>
      <c r="G247" s="914">
        <v>673.70070510112964</v>
      </c>
      <c r="H247" s="894">
        <f t="shared" si="6"/>
        <v>2.4598522220432162E-4</v>
      </c>
      <c r="I247" s="900">
        <f t="shared" si="7"/>
        <v>0.98597101070724569</v>
      </c>
      <c r="J247" s="950"/>
    </row>
    <row r="248" spans="2:10" ht="15" customHeight="1">
      <c r="B248" s="899" t="s">
        <v>2429</v>
      </c>
      <c r="C248" s="893" t="s">
        <v>1028</v>
      </c>
      <c r="D248" s="643" t="s">
        <v>876</v>
      </c>
      <c r="E248" s="893" t="s">
        <v>15</v>
      </c>
      <c r="F248" s="893">
        <v>207</v>
      </c>
      <c r="G248" s="914">
        <v>671.29496273810355</v>
      </c>
      <c r="H248" s="894">
        <f t="shared" si="6"/>
        <v>2.4510682462323778E-4</v>
      </c>
      <c r="I248" s="900">
        <f t="shared" si="7"/>
        <v>0.98621611753186889</v>
      </c>
      <c r="J248" s="950"/>
    </row>
    <row r="249" spans="2:10" ht="15" customHeight="1">
      <c r="B249" s="899" t="s">
        <v>763</v>
      </c>
      <c r="C249" s="893" t="s">
        <v>237</v>
      </c>
      <c r="D249" s="643" t="s">
        <v>121</v>
      </c>
      <c r="E249" s="893" t="s">
        <v>737</v>
      </c>
      <c r="F249" s="893">
        <v>9</v>
      </c>
      <c r="G249" s="914">
        <v>657.70567849071426</v>
      </c>
      <c r="H249" s="894">
        <f t="shared" si="6"/>
        <v>2.4014503212416364E-4</v>
      </c>
      <c r="I249" s="900">
        <f t="shared" si="7"/>
        <v>0.9864562625639931</v>
      </c>
      <c r="J249" s="950"/>
    </row>
    <row r="250" spans="2:10" ht="15" customHeight="1">
      <c r="B250" s="899" t="s">
        <v>1436</v>
      </c>
      <c r="C250" s="893" t="s">
        <v>309</v>
      </c>
      <c r="D250" s="643" t="s">
        <v>156</v>
      </c>
      <c r="E250" s="893" t="s">
        <v>737</v>
      </c>
      <c r="F250" s="893">
        <v>8</v>
      </c>
      <c r="G250" s="914">
        <v>656.51232854091461</v>
      </c>
      <c r="H250" s="894">
        <f t="shared" si="6"/>
        <v>2.3970930977691612E-4</v>
      </c>
      <c r="I250" s="900">
        <f t="shared" si="7"/>
        <v>0.98669597187377001</v>
      </c>
      <c r="J250" s="950"/>
    </row>
    <row r="251" spans="2:10" ht="15" customHeight="1">
      <c r="B251" s="899" t="s">
        <v>2351</v>
      </c>
      <c r="C251" s="893" t="s">
        <v>1031</v>
      </c>
      <c r="D251" s="643" t="s">
        <v>861</v>
      </c>
      <c r="E251" s="893" t="s">
        <v>737</v>
      </c>
      <c r="F251" s="893">
        <v>207</v>
      </c>
      <c r="G251" s="914">
        <v>643.695590183749</v>
      </c>
      <c r="H251" s="894">
        <f t="shared" si="6"/>
        <v>2.3502959338527485E-4</v>
      </c>
      <c r="I251" s="900">
        <f t="shared" si="7"/>
        <v>0.98693100146715529</v>
      </c>
      <c r="J251" s="950"/>
    </row>
    <row r="252" spans="2:10" ht="15" customHeight="1">
      <c r="B252" s="899" t="s">
        <v>1341</v>
      </c>
      <c r="C252" s="893" t="s">
        <v>215</v>
      </c>
      <c r="D252" s="643" t="s">
        <v>1195</v>
      </c>
      <c r="E252" s="893" t="s">
        <v>737</v>
      </c>
      <c r="F252" s="893">
        <v>2</v>
      </c>
      <c r="G252" s="914">
        <v>641.64554056020972</v>
      </c>
      <c r="H252" s="894">
        <f t="shared" si="6"/>
        <v>2.3428106824887842E-4</v>
      </c>
      <c r="I252" s="900">
        <f t="shared" si="7"/>
        <v>0.98716528253540414</v>
      </c>
      <c r="J252" s="950"/>
    </row>
    <row r="253" spans="2:10" ht="15" customHeight="1">
      <c r="B253" s="899" t="s">
        <v>2429</v>
      </c>
      <c r="C253" s="893" t="s">
        <v>864</v>
      </c>
      <c r="D253" s="643" t="s">
        <v>876</v>
      </c>
      <c r="E253" s="893" t="s">
        <v>737</v>
      </c>
      <c r="F253" s="893">
        <v>197</v>
      </c>
      <c r="G253" s="914">
        <v>638.86525439326761</v>
      </c>
      <c r="H253" s="894">
        <f t="shared" si="6"/>
        <v>2.33265915221149E-4</v>
      </c>
      <c r="I253" s="900">
        <f t="shared" si="7"/>
        <v>0.98739854845062525</v>
      </c>
      <c r="J253" s="950"/>
    </row>
    <row r="254" spans="2:10" ht="15" customHeight="1">
      <c r="B254" s="899" t="s">
        <v>2416</v>
      </c>
      <c r="C254" s="893" t="s">
        <v>265</v>
      </c>
      <c r="D254" s="643" t="s">
        <v>1600</v>
      </c>
      <c r="E254" s="893" t="s">
        <v>737</v>
      </c>
      <c r="F254" s="893">
        <v>3</v>
      </c>
      <c r="G254" s="914">
        <v>628.22126079079931</v>
      </c>
      <c r="H254" s="894">
        <f t="shared" si="6"/>
        <v>2.2937952307160907E-4</v>
      </c>
      <c r="I254" s="900">
        <f t="shared" si="7"/>
        <v>0.98762792797369681</v>
      </c>
      <c r="J254" s="950"/>
    </row>
    <row r="255" spans="2:10" ht="15" customHeight="1">
      <c r="B255" s="899" t="s">
        <v>731</v>
      </c>
      <c r="C255" s="893" t="s">
        <v>387</v>
      </c>
      <c r="D255" s="643" t="s">
        <v>2148</v>
      </c>
      <c r="E255" s="893" t="s">
        <v>737</v>
      </c>
      <c r="F255" s="893">
        <v>9</v>
      </c>
      <c r="G255" s="914">
        <v>627.36387526890485</v>
      </c>
      <c r="H255" s="894">
        <f t="shared" si="6"/>
        <v>2.2906646986189583E-4</v>
      </c>
      <c r="I255" s="900">
        <f t="shared" si="7"/>
        <v>0.98785699444355868</v>
      </c>
      <c r="J255" s="950"/>
    </row>
    <row r="256" spans="2:10" ht="15" customHeight="1">
      <c r="B256" s="899" t="s">
        <v>2351</v>
      </c>
      <c r="C256" s="893" t="s">
        <v>867</v>
      </c>
      <c r="D256" s="643" t="s">
        <v>861</v>
      </c>
      <c r="E256" s="893" t="s">
        <v>737</v>
      </c>
      <c r="F256" s="893">
        <v>197</v>
      </c>
      <c r="G256" s="914">
        <v>612.59918486086258</v>
      </c>
      <c r="H256" s="894">
        <f t="shared" si="6"/>
        <v>2.2367550674830505E-4</v>
      </c>
      <c r="I256" s="900">
        <f t="shared" si="7"/>
        <v>0.98808066995030697</v>
      </c>
      <c r="J256" s="950"/>
    </row>
    <row r="257" spans="2:10" ht="15" customHeight="1">
      <c r="B257" s="899" t="s">
        <v>2410</v>
      </c>
      <c r="C257" s="893" t="s">
        <v>965</v>
      </c>
      <c r="D257" s="643" t="s">
        <v>1023</v>
      </c>
      <c r="E257" s="893" t="s">
        <v>737</v>
      </c>
      <c r="F257" s="893">
        <v>60</v>
      </c>
      <c r="G257" s="914">
        <v>604.68614564345</v>
      </c>
      <c r="H257" s="894">
        <f t="shared" si="6"/>
        <v>2.2078625534116195E-4</v>
      </c>
      <c r="I257" s="900">
        <f t="shared" si="7"/>
        <v>0.98830145620564813</v>
      </c>
      <c r="J257" s="950"/>
    </row>
    <row r="258" spans="2:10" ht="15" customHeight="1">
      <c r="B258" s="899" t="s">
        <v>1497</v>
      </c>
      <c r="C258" s="893" t="s">
        <v>384</v>
      </c>
      <c r="D258" s="643" t="s">
        <v>2145</v>
      </c>
      <c r="E258" s="893" t="s">
        <v>737</v>
      </c>
      <c r="F258" s="893">
        <v>4</v>
      </c>
      <c r="G258" s="914">
        <v>602.73531217217442</v>
      </c>
      <c r="H258" s="894">
        <f t="shared" si="6"/>
        <v>2.2007395653951038E-4</v>
      </c>
      <c r="I258" s="900">
        <f t="shared" si="7"/>
        <v>0.98852153016218769</v>
      </c>
      <c r="J258" s="950"/>
    </row>
    <row r="259" spans="2:10" ht="15" customHeight="1">
      <c r="B259" s="899" t="s">
        <v>1214</v>
      </c>
      <c r="C259" s="893" t="s">
        <v>226</v>
      </c>
      <c r="D259" s="643" t="s">
        <v>895</v>
      </c>
      <c r="E259" s="893" t="s">
        <v>13</v>
      </c>
      <c r="F259" s="893">
        <v>14</v>
      </c>
      <c r="G259" s="914">
        <v>596.78394101476522</v>
      </c>
      <c r="H259" s="894">
        <f t="shared" ref="H259:H322" si="8">G259/$G$387</f>
        <v>2.1790095991728486E-4</v>
      </c>
      <c r="I259" s="900">
        <f t="shared" si="7"/>
        <v>0.98873943112210494</v>
      </c>
      <c r="J259" s="950"/>
    </row>
    <row r="260" spans="2:10" ht="15" customHeight="1">
      <c r="B260" s="899" t="s">
        <v>754</v>
      </c>
      <c r="C260" s="893" t="s">
        <v>224</v>
      </c>
      <c r="D260" s="643" t="s">
        <v>1508</v>
      </c>
      <c r="E260" s="893" t="s">
        <v>737</v>
      </c>
      <c r="F260" s="893">
        <v>32</v>
      </c>
      <c r="G260" s="914">
        <v>590.81592574099977</v>
      </c>
      <c r="H260" s="894">
        <f t="shared" si="8"/>
        <v>2.1572188610584272E-4</v>
      </c>
      <c r="I260" s="900">
        <f t="shared" ref="I260:I323" si="9">H260+I259</f>
        <v>0.9889551530082108</v>
      </c>
      <c r="J260" s="950"/>
    </row>
    <row r="261" spans="2:10" ht="15" customHeight="1">
      <c r="B261" s="899" t="s">
        <v>733</v>
      </c>
      <c r="C261" s="893" t="s">
        <v>832</v>
      </c>
      <c r="D261" s="643" t="s">
        <v>2151</v>
      </c>
      <c r="E261" s="893" t="s">
        <v>737</v>
      </c>
      <c r="F261" s="893">
        <v>7</v>
      </c>
      <c r="G261" s="914">
        <v>587.80806802570862</v>
      </c>
      <c r="H261" s="894">
        <f t="shared" si="8"/>
        <v>2.1462364093131258E-4</v>
      </c>
      <c r="I261" s="900">
        <f t="shared" si="9"/>
        <v>0.98916977664914207</v>
      </c>
      <c r="J261" s="950"/>
    </row>
    <row r="262" spans="2:10" ht="15" customHeight="1">
      <c r="B262" s="899" t="s">
        <v>2350</v>
      </c>
      <c r="C262" s="893" t="s">
        <v>852</v>
      </c>
      <c r="D262" s="643" t="s">
        <v>860</v>
      </c>
      <c r="E262" s="893" t="s">
        <v>737</v>
      </c>
      <c r="F262" s="893">
        <v>117</v>
      </c>
      <c r="G262" s="914">
        <v>583.18284503739301</v>
      </c>
      <c r="H262" s="894">
        <f t="shared" si="8"/>
        <v>2.1293485465587804E-4</v>
      </c>
      <c r="I262" s="900">
        <f t="shared" si="9"/>
        <v>0.98938271150379797</v>
      </c>
      <c r="J262" s="950"/>
    </row>
    <row r="263" spans="2:10" ht="15" customHeight="1">
      <c r="B263" s="899" t="s">
        <v>1071</v>
      </c>
      <c r="C263" s="893" t="s">
        <v>1142</v>
      </c>
      <c r="D263" s="643" t="s">
        <v>2154</v>
      </c>
      <c r="E263" s="893" t="s">
        <v>737</v>
      </c>
      <c r="F263" s="893">
        <v>3</v>
      </c>
      <c r="G263" s="914">
        <v>578.12862526048821</v>
      </c>
      <c r="H263" s="894">
        <f t="shared" si="8"/>
        <v>2.1108943076738029E-4</v>
      </c>
      <c r="I263" s="900">
        <f t="shared" si="9"/>
        <v>0.98959380093456539</v>
      </c>
      <c r="J263" s="950"/>
    </row>
    <row r="264" spans="2:10" ht="15" customHeight="1">
      <c r="B264" s="899" t="s">
        <v>1517</v>
      </c>
      <c r="C264" s="893" t="s">
        <v>23</v>
      </c>
      <c r="D264" s="643" t="s">
        <v>394</v>
      </c>
      <c r="E264" s="893" t="s">
        <v>4</v>
      </c>
      <c r="F264" s="893">
        <v>22.52</v>
      </c>
      <c r="G264" s="914">
        <v>565.22094819266385</v>
      </c>
      <c r="H264" s="894">
        <f t="shared" si="8"/>
        <v>2.0637651034495949E-4</v>
      </c>
      <c r="I264" s="900">
        <f t="shared" si="9"/>
        <v>0.98980017744491033</v>
      </c>
      <c r="J264" s="950"/>
    </row>
    <row r="265" spans="2:10" ht="15" customHeight="1">
      <c r="B265" s="899" t="s">
        <v>1089</v>
      </c>
      <c r="C265" s="893" t="s">
        <v>885</v>
      </c>
      <c r="D265" s="643" t="s">
        <v>901</v>
      </c>
      <c r="E265" s="893" t="s">
        <v>737</v>
      </c>
      <c r="F265" s="893">
        <v>100</v>
      </c>
      <c r="G265" s="914">
        <v>548.23701241419894</v>
      </c>
      <c r="H265" s="894">
        <f t="shared" si="8"/>
        <v>2.001752444345394E-4</v>
      </c>
      <c r="I265" s="900">
        <f t="shared" si="9"/>
        <v>0.99000035268934483</v>
      </c>
      <c r="J265" s="950"/>
    </row>
    <row r="266" spans="2:10" ht="15" customHeight="1">
      <c r="B266" s="899" t="s">
        <v>2378</v>
      </c>
      <c r="C266" s="893" t="s">
        <v>934</v>
      </c>
      <c r="D266" s="643" t="s">
        <v>991</v>
      </c>
      <c r="E266" s="893" t="s">
        <v>737</v>
      </c>
      <c r="F266" s="893">
        <v>12</v>
      </c>
      <c r="G266" s="914">
        <v>529.53559794080138</v>
      </c>
      <c r="H266" s="894">
        <f t="shared" si="8"/>
        <v>1.9334688347255515E-4</v>
      </c>
      <c r="I266" s="900">
        <f t="shared" si="9"/>
        <v>0.99019369957281733</v>
      </c>
      <c r="J266" s="950"/>
    </row>
    <row r="267" spans="2:10" ht="15" customHeight="1">
      <c r="B267" s="899" t="s">
        <v>2377</v>
      </c>
      <c r="C267" s="893" t="s">
        <v>933</v>
      </c>
      <c r="D267" s="643" t="s">
        <v>990</v>
      </c>
      <c r="E267" s="893" t="s">
        <v>737</v>
      </c>
      <c r="F267" s="893">
        <v>15</v>
      </c>
      <c r="G267" s="914">
        <v>514.30411101409686</v>
      </c>
      <c r="H267" s="894">
        <f t="shared" si="8"/>
        <v>1.8778548110530484E-4</v>
      </c>
      <c r="I267" s="900">
        <f t="shared" si="9"/>
        <v>0.99038148505392265</v>
      </c>
      <c r="J267" s="950"/>
    </row>
    <row r="268" spans="2:10" ht="15" customHeight="1">
      <c r="B268" s="899" t="s">
        <v>2352</v>
      </c>
      <c r="C268" s="893" t="s">
        <v>962</v>
      </c>
      <c r="D268" s="643" t="s">
        <v>859</v>
      </c>
      <c r="E268" s="893" t="s">
        <v>13</v>
      </c>
      <c r="F268" s="893">
        <v>40</v>
      </c>
      <c r="G268" s="914">
        <v>513.86418642798697</v>
      </c>
      <c r="H268" s="894">
        <f t="shared" si="8"/>
        <v>1.8762485347608015E-4</v>
      </c>
      <c r="I268" s="900">
        <f t="shared" si="9"/>
        <v>0.99056910990739877</v>
      </c>
      <c r="J268" s="950"/>
    </row>
    <row r="269" spans="2:10" ht="15" customHeight="1">
      <c r="B269" s="899" t="s">
        <v>751</v>
      </c>
      <c r="C269" s="893" t="s">
        <v>230</v>
      </c>
      <c r="D269" s="643" t="s">
        <v>113</v>
      </c>
      <c r="E269" s="893" t="s">
        <v>13</v>
      </c>
      <c r="F269" s="893">
        <v>13</v>
      </c>
      <c r="G269" s="914">
        <v>508.87547612902677</v>
      </c>
      <c r="H269" s="894">
        <f t="shared" si="8"/>
        <v>1.8580334876024568E-4</v>
      </c>
      <c r="I269" s="900">
        <f t="shared" si="9"/>
        <v>0.99075491325615905</v>
      </c>
      <c r="J269" s="950"/>
    </row>
    <row r="270" spans="2:10" ht="15" customHeight="1">
      <c r="B270" s="899" t="s">
        <v>2359</v>
      </c>
      <c r="C270" s="893" t="s">
        <v>916</v>
      </c>
      <c r="D270" s="643" t="s">
        <v>971</v>
      </c>
      <c r="E270" s="893" t="s">
        <v>737</v>
      </c>
      <c r="F270" s="893">
        <v>28</v>
      </c>
      <c r="G270" s="914">
        <v>496.30600470956546</v>
      </c>
      <c r="H270" s="894">
        <f t="shared" si="8"/>
        <v>1.8121391580181806E-4</v>
      </c>
      <c r="I270" s="900">
        <f t="shared" si="9"/>
        <v>0.99093612717196089</v>
      </c>
      <c r="J270" s="950"/>
    </row>
    <row r="271" spans="2:10" ht="30" customHeight="1">
      <c r="B271" s="899" t="s">
        <v>2412</v>
      </c>
      <c r="C271" s="893" t="s">
        <v>263</v>
      </c>
      <c r="D271" s="643" t="s">
        <v>1135</v>
      </c>
      <c r="E271" s="893" t="s">
        <v>13</v>
      </c>
      <c r="F271" s="893">
        <v>20</v>
      </c>
      <c r="G271" s="914">
        <v>472.11654817067313</v>
      </c>
      <c r="H271" s="894">
        <f t="shared" si="8"/>
        <v>1.7238173142577822E-4</v>
      </c>
      <c r="I271" s="900">
        <f t="shared" si="9"/>
        <v>0.99110850890338664</v>
      </c>
      <c r="J271" s="950"/>
    </row>
    <row r="272" spans="2:10" ht="15" customHeight="1">
      <c r="B272" s="899" t="s">
        <v>732</v>
      </c>
      <c r="C272" s="893" t="s">
        <v>811</v>
      </c>
      <c r="D272" s="643" t="s">
        <v>2150</v>
      </c>
      <c r="E272" s="893" t="s">
        <v>737</v>
      </c>
      <c r="F272" s="893">
        <v>9</v>
      </c>
      <c r="G272" s="914">
        <v>469.26906975099564</v>
      </c>
      <c r="H272" s="894">
        <f t="shared" si="8"/>
        <v>1.7134204480160996E-4</v>
      </c>
      <c r="I272" s="900">
        <f t="shared" si="9"/>
        <v>0.99127985094818827</v>
      </c>
      <c r="J272" s="950"/>
    </row>
    <row r="273" spans="2:10" ht="15" customHeight="1">
      <c r="B273" s="899" t="s">
        <v>1346</v>
      </c>
      <c r="C273" s="893" t="s">
        <v>836</v>
      </c>
      <c r="D273" s="643" t="s">
        <v>1200</v>
      </c>
      <c r="E273" s="893" t="s">
        <v>737</v>
      </c>
      <c r="F273" s="893">
        <v>4</v>
      </c>
      <c r="G273" s="914">
        <v>457.68198289605493</v>
      </c>
      <c r="H273" s="894">
        <f t="shared" si="8"/>
        <v>1.6711130537513792E-4</v>
      </c>
      <c r="I273" s="900">
        <f t="shared" si="9"/>
        <v>0.99144696225356344</v>
      </c>
      <c r="J273" s="950"/>
    </row>
    <row r="274" spans="2:10" ht="15" customHeight="1">
      <c r="B274" s="899" t="s">
        <v>2388</v>
      </c>
      <c r="C274" s="893" t="s">
        <v>941</v>
      </c>
      <c r="D274" s="643" t="s">
        <v>1000</v>
      </c>
      <c r="E274" s="893" t="s">
        <v>737</v>
      </c>
      <c r="F274" s="893">
        <v>10</v>
      </c>
      <c r="G274" s="914">
        <v>446.08016532178669</v>
      </c>
      <c r="H274" s="894">
        <f t="shared" si="8"/>
        <v>1.6287518738925577E-4</v>
      </c>
      <c r="I274" s="900">
        <f t="shared" si="9"/>
        <v>0.99160983744095266</v>
      </c>
      <c r="J274" s="950"/>
    </row>
    <row r="275" spans="2:10" ht="30" customHeight="1">
      <c r="B275" s="899" t="s">
        <v>719</v>
      </c>
      <c r="C275" s="893" t="s">
        <v>1103</v>
      </c>
      <c r="D275" s="643" t="s">
        <v>2503</v>
      </c>
      <c r="E275" s="893" t="s">
        <v>737</v>
      </c>
      <c r="F275" s="893">
        <v>460</v>
      </c>
      <c r="G275" s="914">
        <v>436.16299862905066</v>
      </c>
      <c r="H275" s="894">
        <f t="shared" si="8"/>
        <v>1.592541781872782E-4</v>
      </c>
      <c r="I275" s="900">
        <f t="shared" si="9"/>
        <v>0.99176909161913995</v>
      </c>
      <c r="J275" s="950"/>
    </row>
    <row r="276" spans="2:10" ht="15" customHeight="1">
      <c r="B276" s="899" t="s">
        <v>1671</v>
      </c>
      <c r="C276" s="893" t="s">
        <v>316</v>
      </c>
      <c r="D276" s="643" t="s">
        <v>1672</v>
      </c>
      <c r="E276" s="893" t="s">
        <v>737</v>
      </c>
      <c r="F276" s="893">
        <v>7</v>
      </c>
      <c r="G276" s="914">
        <v>435.63973319162955</v>
      </c>
      <c r="H276" s="894">
        <f t="shared" si="8"/>
        <v>1.5906312069851315E-4</v>
      </c>
      <c r="I276" s="900">
        <f t="shared" si="9"/>
        <v>0.99192815473983842</v>
      </c>
      <c r="J276" s="950"/>
    </row>
    <row r="277" spans="2:10" ht="15" customHeight="1">
      <c r="B277" s="899" t="s">
        <v>1357</v>
      </c>
      <c r="C277" s="893" t="s">
        <v>889</v>
      </c>
      <c r="D277" s="643" t="s">
        <v>1159</v>
      </c>
      <c r="E277" s="893" t="s">
        <v>737</v>
      </c>
      <c r="F277" s="893">
        <v>36</v>
      </c>
      <c r="G277" s="914">
        <v>432.04205878350092</v>
      </c>
      <c r="H277" s="894">
        <f t="shared" si="8"/>
        <v>1.5774951848316517E-4</v>
      </c>
      <c r="I277" s="900">
        <f t="shared" si="9"/>
        <v>0.99208590425832155</v>
      </c>
      <c r="J277" s="950"/>
    </row>
    <row r="278" spans="2:10" ht="15" customHeight="1">
      <c r="B278" s="899" t="s">
        <v>756</v>
      </c>
      <c r="C278" s="893" t="s">
        <v>232</v>
      </c>
      <c r="D278" s="643" t="s">
        <v>115</v>
      </c>
      <c r="E278" s="893" t="s">
        <v>737</v>
      </c>
      <c r="F278" s="893">
        <v>24</v>
      </c>
      <c r="G278" s="914">
        <v>427.15298263449552</v>
      </c>
      <c r="H278" s="894">
        <f t="shared" si="8"/>
        <v>1.5596439272363906E-4</v>
      </c>
      <c r="I278" s="900">
        <f t="shared" si="9"/>
        <v>0.99224186865104513</v>
      </c>
      <c r="J278" s="950"/>
    </row>
    <row r="279" spans="2:10" ht="15" customHeight="1">
      <c r="B279" s="899" t="s">
        <v>2352</v>
      </c>
      <c r="C279" s="893" t="s">
        <v>268</v>
      </c>
      <c r="D279" s="643" t="s">
        <v>859</v>
      </c>
      <c r="E279" s="893" t="s">
        <v>13</v>
      </c>
      <c r="F279" s="893">
        <v>33</v>
      </c>
      <c r="G279" s="914">
        <v>423.93795380308927</v>
      </c>
      <c r="H279" s="894">
        <f t="shared" si="8"/>
        <v>1.5479050411776614E-4</v>
      </c>
      <c r="I279" s="900">
        <f t="shared" si="9"/>
        <v>0.99239665915516295</v>
      </c>
      <c r="J279" s="950"/>
    </row>
    <row r="280" spans="2:10" ht="15" customHeight="1">
      <c r="B280" s="899" t="s">
        <v>2389</v>
      </c>
      <c r="C280" s="893" t="s">
        <v>942</v>
      </c>
      <c r="D280" s="643" t="s">
        <v>1001</v>
      </c>
      <c r="E280" s="893" t="s">
        <v>737</v>
      </c>
      <c r="F280" s="893">
        <v>8</v>
      </c>
      <c r="G280" s="914">
        <v>422.15093730464588</v>
      </c>
      <c r="H280" s="894">
        <f t="shared" si="8"/>
        <v>1.5413801904965804E-4</v>
      </c>
      <c r="I280" s="900">
        <f t="shared" si="9"/>
        <v>0.99255079717421257</v>
      </c>
      <c r="J280" s="950"/>
    </row>
    <row r="281" spans="2:10" ht="15" customHeight="1">
      <c r="B281" s="899" t="s">
        <v>1072</v>
      </c>
      <c r="C281" s="893" t="s">
        <v>1143</v>
      </c>
      <c r="D281" s="643" t="s">
        <v>2155</v>
      </c>
      <c r="E281" s="893" t="s">
        <v>737</v>
      </c>
      <c r="F281" s="893">
        <v>6</v>
      </c>
      <c r="G281" s="914">
        <v>401.57270591161534</v>
      </c>
      <c r="H281" s="894">
        <f t="shared" si="8"/>
        <v>1.4662438460715481E-4</v>
      </c>
      <c r="I281" s="900">
        <f t="shared" si="9"/>
        <v>0.99269742155881968</v>
      </c>
      <c r="J281" s="950"/>
    </row>
    <row r="282" spans="2:10" ht="15" customHeight="1">
      <c r="B282" s="899" t="s">
        <v>1086</v>
      </c>
      <c r="C282" s="893" t="s">
        <v>1561</v>
      </c>
      <c r="D282" s="643" t="s">
        <v>1264</v>
      </c>
      <c r="E282" s="893" t="s">
        <v>737</v>
      </c>
      <c r="F282" s="893">
        <v>2</v>
      </c>
      <c r="G282" s="914">
        <v>396.36279910041793</v>
      </c>
      <c r="H282" s="894">
        <f t="shared" si="8"/>
        <v>1.4472211543196695E-4</v>
      </c>
      <c r="I282" s="900">
        <f t="shared" si="9"/>
        <v>0.99284214367425161</v>
      </c>
      <c r="J282" s="950"/>
    </row>
    <row r="283" spans="2:10" ht="15" customHeight="1">
      <c r="B283" s="899" t="s">
        <v>766</v>
      </c>
      <c r="C283" s="893" t="s">
        <v>880</v>
      </c>
      <c r="D283" s="643" t="s">
        <v>1222</v>
      </c>
      <c r="E283" s="893" t="s">
        <v>737</v>
      </c>
      <c r="F283" s="893">
        <v>6</v>
      </c>
      <c r="G283" s="914">
        <v>388.64785560658652</v>
      </c>
      <c r="H283" s="894">
        <f t="shared" si="8"/>
        <v>1.4190519380006953E-4</v>
      </c>
      <c r="I283" s="900">
        <f t="shared" si="9"/>
        <v>0.99298404886805169</v>
      </c>
      <c r="J283" s="950"/>
    </row>
    <row r="284" spans="2:10" ht="15" customHeight="1">
      <c r="B284" s="899" t="s">
        <v>1236</v>
      </c>
      <c r="C284" s="893" t="s">
        <v>2129</v>
      </c>
      <c r="D284" s="643" t="s">
        <v>1641</v>
      </c>
      <c r="E284" s="893" t="s">
        <v>737</v>
      </c>
      <c r="F284" s="893">
        <v>2</v>
      </c>
      <c r="G284" s="914">
        <v>385.44366327139852</v>
      </c>
      <c r="H284" s="894">
        <f t="shared" si="8"/>
        <v>1.4073526187393583E-4</v>
      </c>
      <c r="I284" s="900">
        <f t="shared" si="9"/>
        <v>0.99312478412992566</v>
      </c>
      <c r="J284" s="950"/>
    </row>
    <row r="285" spans="2:10" ht="15" customHeight="1">
      <c r="B285" s="899" t="s">
        <v>2374</v>
      </c>
      <c r="C285" s="893" t="s">
        <v>931</v>
      </c>
      <c r="D285" s="643" t="s">
        <v>986</v>
      </c>
      <c r="E285" s="893" t="s">
        <v>737</v>
      </c>
      <c r="F285" s="893">
        <v>3</v>
      </c>
      <c r="G285" s="914">
        <v>370.00866785558395</v>
      </c>
      <c r="H285" s="894">
        <f t="shared" si="8"/>
        <v>1.3509955339339937E-4</v>
      </c>
      <c r="I285" s="900">
        <f t="shared" si="9"/>
        <v>0.99325988368331908</v>
      </c>
      <c r="J285" s="950"/>
    </row>
    <row r="286" spans="2:10" ht="15" customHeight="1">
      <c r="B286" s="899" t="s">
        <v>704</v>
      </c>
      <c r="C286" s="893" t="s">
        <v>768</v>
      </c>
      <c r="D286" s="643" t="s">
        <v>92</v>
      </c>
      <c r="E286" s="893" t="s">
        <v>737</v>
      </c>
      <c r="F286" s="893">
        <v>19</v>
      </c>
      <c r="G286" s="914">
        <v>366.75320446644753</v>
      </c>
      <c r="H286" s="894">
        <f t="shared" si="8"/>
        <v>1.3391090110449527E-4</v>
      </c>
      <c r="I286" s="900">
        <f t="shared" si="9"/>
        <v>0.99339379458442356</v>
      </c>
      <c r="J286" s="950"/>
    </row>
    <row r="287" spans="2:10" ht="15" customHeight="1">
      <c r="B287" s="899" t="s">
        <v>1335</v>
      </c>
      <c r="C287" s="893" t="s">
        <v>205</v>
      </c>
      <c r="D287" s="643" t="s">
        <v>30</v>
      </c>
      <c r="E287" s="893" t="s">
        <v>13</v>
      </c>
      <c r="F287" s="893">
        <v>104</v>
      </c>
      <c r="G287" s="914">
        <v>365.90310219720635</v>
      </c>
      <c r="H287" s="894">
        <f t="shared" si="8"/>
        <v>1.3360050719513414E-4</v>
      </c>
      <c r="I287" s="900">
        <f t="shared" si="9"/>
        <v>0.99352739509161869</v>
      </c>
      <c r="J287" s="950"/>
    </row>
    <row r="288" spans="2:10" ht="15" customHeight="1">
      <c r="B288" s="899" t="s">
        <v>1117</v>
      </c>
      <c r="C288" s="893" t="s">
        <v>389</v>
      </c>
      <c r="D288" s="643" t="s">
        <v>1099</v>
      </c>
      <c r="E288" s="893" t="s">
        <v>737</v>
      </c>
      <c r="F288" s="893">
        <v>180</v>
      </c>
      <c r="G288" s="914">
        <v>365.76031034451881</v>
      </c>
      <c r="H288" s="894">
        <f t="shared" si="8"/>
        <v>1.3354837026645594E-4</v>
      </c>
      <c r="I288" s="900">
        <f t="shared" si="9"/>
        <v>0.99366094346188516</v>
      </c>
      <c r="J288" s="950"/>
    </row>
    <row r="289" spans="2:10" ht="15" customHeight="1">
      <c r="B289" s="899" t="s">
        <v>2351</v>
      </c>
      <c r="C289" s="893" t="s">
        <v>853</v>
      </c>
      <c r="D289" s="643" t="s">
        <v>861</v>
      </c>
      <c r="E289" s="893" t="s">
        <v>737</v>
      </c>
      <c r="F289" s="893">
        <v>117</v>
      </c>
      <c r="G289" s="914">
        <v>363.82794227777123</v>
      </c>
      <c r="H289" s="894">
        <f t="shared" si="8"/>
        <v>1.3284281365254666E-4</v>
      </c>
      <c r="I289" s="900">
        <f t="shared" si="9"/>
        <v>0.99379378627553772</v>
      </c>
      <c r="J289" s="950"/>
    </row>
    <row r="290" spans="2:10" ht="15" customHeight="1">
      <c r="B290" s="899" t="s">
        <v>1372</v>
      </c>
      <c r="C290" s="893" t="s">
        <v>222</v>
      </c>
      <c r="D290" s="643" t="s">
        <v>894</v>
      </c>
      <c r="E290" s="893" t="s">
        <v>737</v>
      </c>
      <c r="F290" s="893">
        <v>5</v>
      </c>
      <c r="G290" s="914">
        <v>361.12280939220659</v>
      </c>
      <c r="H290" s="894">
        <f t="shared" si="8"/>
        <v>1.3185510099481991E-4</v>
      </c>
      <c r="I290" s="900">
        <f t="shared" si="9"/>
        <v>0.9939256413765325</v>
      </c>
      <c r="J290" s="950"/>
    </row>
    <row r="291" spans="2:10" ht="15" customHeight="1">
      <c r="B291" s="899" t="s">
        <v>755</v>
      </c>
      <c r="C291" s="893" t="s">
        <v>220</v>
      </c>
      <c r="D291" s="643" t="s">
        <v>131</v>
      </c>
      <c r="E291" s="893" t="s">
        <v>737</v>
      </c>
      <c r="F291" s="893">
        <v>10</v>
      </c>
      <c r="G291" s="914">
        <v>355.15248546738661</v>
      </c>
      <c r="H291" s="894">
        <f t="shared" si="8"/>
        <v>1.2967518423629703E-4</v>
      </c>
      <c r="I291" s="900">
        <f t="shared" si="9"/>
        <v>0.99405531656076884</v>
      </c>
      <c r="J291" s="950"/>
    </row>
    <row r="292" spans="2:10" ht="15" customHeight="1">
      <c r="B292" s="899" t="s">
        <v>1136</v>
      </c>
      <c r="C292" s="893" t="s">
        <v>1141</v>
      </c>
      <c r="D292" s="643" t="s">
        <v>2153</v>
      </c>
      <c r="E292" s="893" t="s">
        <v>737</v>
      </c>
      <c r="F292" s="893">
        <v>1</v>
      </c>
      <c r="G292" s="914">
        <v>346.80545639881427</v>
      </c>
      <c r="H292" s="894">
        <f t="shared" si="8"/>
        <v>1.2662747212225007E-4</v>
      </c>
      <c r="I292" s="900">
        <f t="shared" si="9"/>
        <v>0.99418194403289106</v>
      </c>
      <c r="J292" s="950"/>
    </row>
    <row r="293" spans="2:10" ht="15" customHeight="1">
      <c r="B293" s="899" t="s">
        <v>2348</v>
      </c>
      <c r="C293" s="893" t="s">
        <v>253</v>
      </c>
      <c r="D293" s="643" t="s">
        <v>140</v>
      </c>
      <c r="E293" s="893" t="s">
        <v>13</v>
      </c>
      <c r="F293" s="893">
        <v>16</v>
      </c>
      <c r="G293" s="914">
        <v>343.77902058759111</v>
      </c>
      <c r="H293" s="894">
        <f t="shared" si="8"/>
        <v>1.2552244361348653E-4</v>
      </c>
      <c r="I293" s="900">
        <f t="shared" si="9"/>
        <v>0.99430746647650459</v>
      </c>
      <c r="J293" s="950"/>
    </row>
    <row r="294" spans="2:10" ht="15" customHeight="1">
      <c r="B294" s="899" t="s">
        <v>1564</v>
      </c>
      <c r="C294" s="893" t="s">
        <v>1578</v>
      </c>
      <c r="D294" s="643" t="s">
        <v>1560</v>
      </c>
      <c r="E294" s="893" t="s">
        <v>737</v>
      </c>
      <c r="F294" s="893">
        <v>1</v>
      </c>
      <c r="G294" s="914">
        <v>335.11251711401212</v>
      </c>
      <c r="H294" s="894">
        <f t="shared" si="8"/>
        <v>1.2235808328769048E-4</v>
      </c>
      <c r="I294" s="900">
        <f t="shared" si="9"/>
        <v>0.99442982455979223</v>
      </c>
      <c r="J294" s="950"/>
    </row>
    <row r="295" spans="2:10" ht="15" customHeight="1">
      <c r="B295" s="899" t="s">
        <v>1375</v>
      </c>
      <c r="C295" s="893" t="s">
        <v>227</v>
      </c>
      <c r="D295" s="643" t="s">
        <v>1377</v>
      </c>
      <c r="E295" s="893" t="s">
        <v>737</v>
      </c>
      <c r="F295" s="893">
        <v>3</v>
      </c>
      <c r="G295" s="914">
        <v>328.2502113307674</v>
      </c>
      <c r="H295" s="894">
        <f t="shared" si="8"/>
        <v>1.1985248131912482E-4</v>
      </c>
      <c r="I295" s="900">
        <f t="shared" si="9"/>
        <v>0.9945496770411113</v>
      </c>
      <c r="J295" s="950"/>
    </row>
    <row r="296" spans="2:10" ht="15" customHeight="1">
      <c r="B296" s="899" t="s">
        <v>706</v>
      </c>
      <c r="C296" s="893" t="s">
        <v>340</v>
      </c>
      <c r="D296" s="643" t="s">
        <v>105</v>
      </c>
      <c r="E296" s="893" t="s">
        <v>4</v>
      </c>
      <c r="F296" s="893">
        <v>50.66</v>
      </c>
      <c r="G296" s="914">
        <v>327.79002425515</v>
      </c>
      <c r="H296" s="894">
        <f t="shared" si="8"/>
        <v>1.1968445534083181E-4</v>
      </c>
      <c r="I296" s="900">
        <f t="shared" si="9"/>
        <v>0.99466936149645213</v>
      </c>
      <c r="J296" s="950"/>
    </row>
    <row r="297" spans="2:10" ht="15" customHeight="1">
      <c r="B297" s="899" t="s">
        <v>1118</v>
      </c>
      <c r="C297" s="893" t="s">
        <v>400</v>
      </c>
      <c r="D297" s="643" t="s">
        <v>1101</v>
      </c>
      <c r="E297" s="893" t="s">
        <v>737</v>
      </c>
      <c r="F297" s="893">
        <v>131</v>
      </c>
      <c r="G297" s="914">
        <v>315.87218274799881</v>
      </c>
      <c r="H297" s="894">
        <f t="shared" si="8"/>
        <v>1.153329489981267E-4</v>
      </c>
      <c r="I297" s="900">
        <f t="shared" si="9"/>
        <v>0.99478469444545026</v>
      </c>
      <c r="J297" s="950"/>
    </row>
    <row r="298" spans="2:10" ht="15" customHeight="1">
      <c r="B298" s="899" t="s">
        <v>2406</v>
      </c>
      <c r="C298" s="893" t="s">
        <v>959</v>
      </c>
      <c r="D298" s="643" t="s">
        <v>1020</v>
      </c>
      <c r="E298" s="893" t="s">
        <v>737</v>
      </c>
      <c r="F298" s="893">
        <v>6</v>
      </c>
      <c r="G298" s="914">
        <v>315.17305286714873</v>
      </c>
      <c r="H298" s="894">
        <f t="shared" si="8"/>
        <v>1.1507767893860557E-4</v>
      </c>
      <c r="I298" s="900">
        <f t="shared" si="9"/>
        <v>0.99489977212438885</v>
      </c>
      <c r="J298" s="950"/>
    </row>
    <row r="299" spans="2:10" ht="15" customHeight="1">
      <c r="B299" s="899" t="s">
        <v>2367</v>
      </c>
      <c r="C299" s="893" t="s">
        <v>924</v>
      </c>
      <c r="D299" s="643" t="s">
        <v>979</v>
      </c>
      <c r="E299" s="893" t="s">
        <v>737</v>
      </c>
      <c r="F299" s="893">
        <v>6</v>
      </c>
      <c r="G299" s="914">
        <v>311.5726775888096</v>
      </c>
      <c r="H299" s="894">
        <f t="shared" si="8"/>
        <v>1.1376309056701072E-4</v>
      </c>
      <c r="I299" s="900">
        <f t="shared" si="9"/>
        <v>0.99501353521495584</v>
      </c>
      <c r="J299" s="950"/>
    </row>
    <row r="300" spans="2:10" ht="15" customHeight="1">
      <c r="B300" s="899" t="s">
        <v>1497</v>
      </c>
      <c r="C300" s="893" t="s">
        <v>383</v>
      </c>
      <c r="D300" s="643" t="s">
        <v>2144</v>
      </c>
      <c r="E300" s="893" t="s">
        <v>737</v>
      </c>
      <c r="F300" s="893">
        <v>2</v>
      </c>
      <c r="G300" s="914">
        <v>301.36765608608721</v>
      </c>
      <c r="H300" s="894">
        <f t="shared" si="8"/>
        <v>1.1003697826975519E-4</v>
      </c>
      <c r="I300" s="900">
        <f t="shared" si="9"/>
        <v>0.99512357219322556</v>
      </c>
      <c r="J300" s="950"/>
    </row>
    <row r="301" spans="2:10" ht="15" customHeight="1">
      <c r="B301" s="899" t="s">
        <v>2350</v>
      </c>
      <c r="C301" s="893" t="s">
        <v>963</v>
      </c>
      <c r="D301" s="643" t="s">
        <v>860</v>
      </c>
      <c r="E301" s="893" t="s">
        <v>737</v>
      </c>
      <c r="F301" s="893">
        <v>60</v>
      </c>
      <c r="G301" s="914">
        <v>299.06812566020153</v>
      </c>
      <c r="H301" s="894">
        <f t="shared" si="8"/>
        <v>1.0919736136198873E-4</v>
      </c>
      <c r="I301" s="900">
        <f t="shared" si="9"/>
        <v>0.9952327695545875</v>
      </c>
      <c r="J301" s="950"/>
    </row>
    <row r="302" spans="2:10" ht="15" customHeight="1">
      <c r="B302" s="899" t="s">
        <v>2375</v>
      </c>
      <c r="C302" s="893" t="s">
        <v>932</v>
      </c>
      <c r="D302" s="643" t="s">
        <v>987</v>
      </c>
      <c r="E302" s="893" t="s">
        <v>737</v>
      </c>
      <c r="F302" s="893">
        <v>6</v>
      </c>
      <c r="G302" s="914">
        <v>293.57080119711384</v>
      </c>
      <c r="H302" s="894">
        <f t="shared" si="8"/>
        <v>1.0719014870903643E-4</v>
      </c>
      <c r="I302" s="900">
        <f t="shared" si="9"/>
        <v>0.99533995970329658</v>
      </c>
      <c r="J302" s="950"/>
    </row>
    <row r="303" spans="2:10" ht="15" customHeight="1">
      <c r="B303" s="899" t="s">
        <v>1422</v>
      </c>
      <c r="C303" s="893" t="s">
        <v>295</v>
      </c>
      <c r="D303" s="643" t="s">
        <v>150</v>
      </c>
      <c r="E303" s="893" t="s">
        <v>737</v>
      </c>
      <c r="F303" s="893">
        <v>23</v>
      </c>
      <c r="G303" s="914">
        <v>285.50182786757176</v>
      </c>
      <c r="H303" s="894">
        <f t="shared" si="8"/>
        <v>1.042439618008155E-4</v>
      </c>
      <c r="I303" s="900">
        <f t="shared" si="9"/>
        <v>0.99544420366509745</v>
      </c>
      <c r="J303" s="950"/>
    </row>
    <row r="304" spans="2:10" ht="15" customHeight="1">
      <c r="B304" s="899" t="s">
        <v>2363</v>
      </c>
      <c r="C304" s="893" t="s">
        <v>920</v>
      </c>
      <c r="D304" s="643" t="s">
        <v>975</v>
      </c>
      <c r="E304" s="893" t="s">
        <v>737</v>
      </c>
      <c r="F304" s="893">
        <v>10</v>
      </c>
      <c r="G304" s="914">
        <v>275.66240214706716</v>
      </c>
      <c r="H304" s="894">
        <f t="shared" si="8"/>
        <v>1.0065133780043255E-4</v>
      </c>
      <c r="I304" s="900">
        <f t="shared" si="9"/>
        <v>0.99554485500289791</v>
      </c>
      <c r="J304" s="950"/>
    </row>
    <row r="305" spans="2:10" ht="15" customHeight="1">
      <c r="B305" s="899" t="s">
        <v>781</v>
      </c>
      <c r="C305" s="893" t="s">
        <v>286</v>
      </c>
      <c r="D305" s="643" t="s">
        <v>2315</v>
      </c>
      <c r="E305" s="893" t="s">
        <v>737</v>
      </c>
      <c r="F305" s="893">
        <v>5</v>
      </c>
      <c r="G305" s="914">
        <v>274.40860246408181</v>
      </c>
      <c r="H305" s="894">
        <f t="shared" si="8"/>
        <v>1.0019354372172134E-4</v>
      </c>
      <c r="I305" s="900">
        <f t="shared" si="9"/>
        <v>0.99564504854661962</v>
      </c>
      <c r="J305" s="950"/>
    </row>
    <row r="306" spans="2:10" ht="15" customHeight="1">
      <c r="B306" s="899" t="s">
        <v>2350</v>
      </c>
      <c r="C306" s="893" t="s">
        <v>269</v>
      </c>
      <c r="D306" s="643" t="s">
        <v>860</v>
      </c>
      <c r="E306" s="893" t="s">
        <v>737</v>
      </c>
      <c r="F306" s="893">
        <v>55</v>
      </c>
      <c r="G306" s="914">
        <v>274.14578185518474</v>
      </c>
      <c r="H306" s="894">
        <f t="shared" si="8"/>
        <v>1.0009758124848967E-4</v>
      </c>
      <c r="I306" s="900">
        <f t="shared" si="9"/>
        <v>0.99574514612786813</v>
      </c>
      <c r="J306" s="950"/>
    </row>
    <row r="307" spans="2:10" ht="15" customHeight="1">
      <c r="B307" s="899" t="s">
        <v>2398</v>
      </c>
      <c r="C307" s="893" t="s">
        <v>949</v>
      </c>
      <c r="D307" s="643" t="s">
        <v>1010</v>
      </c>
      <c r="E307" s="893" t="s">
        <v>737</v>
      </c>
      <c r="F307" s="893">
        <v>5</v>
      </c>
      <c r="G307" s="914">
        <v>268.64483618652253</v>
      </c>
      <c r="H307" s="894">
        <f t="shared" si="8"/>
        <v>9.8089046401496078E-5</v>
      </c>
      <c r="I307" s="900">
        <f t="shared" si="9"/>
        <v>0.99584323517426965</v>
      </c>
      <c r="J307" s="950"/>
    </row>
    <row r="308" spans="2:10" ht="15" customHeight="1">
      <c r="B308" s="899" t="s">
        <v>2360</v>
      </c>
      <c r="C308" s="893" t="s">
        <v>917</v>
      </c>
      <c r="D308" s="643" t="s">
        <v>972</v>
      </c>
      <c r="E308" s="893" t="s">
        <v>737</v>
      </c>
      <c r="F308" s="893">
        <v>12</v>
      </c>
      <c r="G308" s="914">
        <v>267.42827767771166</v>
      </c>
      <c r="H308" s="894">
        <f t="shared" si="8"/>
        <v>9.7644850020449578E-5</v>
      </c>
      <c r="I308" s="900">
        <f t="shared" si="9"/>
        <v>0.99594088002429004</v>
      </c>
      <c r="J308" s="950"/>
    </row>
    <row r="309" spans="2:10" ht="15" customHeight="1">
      <c r="B309" s="899" t="s">
        <v>1687</v>
      </c>
      <c r="C309" s="893" t="s">
        <v>326</v>
      </c>
      <c r="D309" s="643" t="s">
        <v>1639</v>
      </c>
      <c r="E309" s="893" t="s">
        <v>737</v>
      </c>
      <c r="F309" s="893">
        <v>8</v>
      </c>
      <c r="G309" s="914">
        <v>266.5330939562312</v>
      </c>
      <c r="H309" s="894">
        <f t="shared" si="8"/>
        <v>9.7317995728959697E-5</v>
      </c>
      <c r="I309" s="900">
        <f t="shared" si="9"/>
        <v>0.99603819802001903</v>
      </c>
      <c r="J309" s="950"/>
    </row>
    <row r="310" spans="2:10" ht="15" customHeight="1">
      <c r="B310" s="899" t="s">
        <v>2383</v>
      </c>
      <c r="C310" s="893" t="s">
        <v>939</v>
      </c>
      <c r="D310" s="643" t="s">
        <v>996</v>
      </c>
      <c r="E310" s="893" t="s">
        <v>737</v>
      </c>
      <c r="F310" s="893">
        <v>2</v>
      </c>
      <c r="G310" s="914">
        <v>260.59389631330066</v>
      </c>
      <c r="H310" s="894">
        <f t="shared" si="8"/>
        <v>9.5149443965766351E-5</v>
      </c>
      <c r="I310" s="900">
        <f t="shared" si="9"/>
        <v>0.99613334746398474</v>
      </c>
      <c r="J310" s="950"/>
    </row>
    <row r="311" spans="2:10" ht="15" customHeight="1">
      <c r="B311" s="899" t="s">
        <v>2373</v>
      </c>
      <c r="C311" s="893" t="s">
        <v>930</v>
      </c>
      <c r="D311" s="643" t="s">
        <v>985</v>
      </c>
      <c r="E311" s="893" t="s">
        <v>737</v>
      </c>
      <c r="F311" s="893">
        <v>3</v>
      </c>
      <c r="G311" s="914">
        <v>252.99647130956171</v>
      </c>
      <c r="H311" s="894">
        <f t="shared" si="8"/>
        <v>9.2375431316566497E-5</v>
      </c>
      <c r="I311" s="900">
        <f t="shared" si="9"/>
        <v>0.99622572289530131</v>
      </c>
      <c r="J311" s="950"/>
    </row>
    <row r="312" spans="2:10" ht="15" customHeight="1">
      <c r="B312" s="899" t="s">
        <v>2368</v>
      </c>
      <c r="C312" s="893" t="s">
        <v>925</v>
      </c>
      <c r="D312" s="643" t="s">
        <v>980</v>
      </c>
      <c r="E312" s="893" t="s">
        <v>737</v>
      </c>
      <c r="F312" s="893">
        <v>12</v>
      </c>
      <c r="G312" s="914">
        <v>248.70632623034808</v>
      </c>
      <c r="H312" s="894">
        <f t="shared" si="8"/>
        <v>9.0808990488156312E-5</v>
      </c>
      <c r="I312" s="900">
        <f t="shared" si="9"/>
        <v>0.9963165318857895</v>
      </c>
      <c r="J312" s="950"/>
    </row>
    <row r="313" spans="2:10" ht="15" customHeight="1">
      <c r="B313" s="899" t="s">
        <v>782</v>
      </c>
      <c r="C313" s="893" t="s">
        <v>288</v>
      </c>
      <c r="D313" s="643" t="s">
        <v>2310</v>
      </c>
      <c r="E313" s="893" t="s">
        <v>737</v>
      </c>
      <c r="F313" s="893">
        <v>4</v>
      </c>
      <c r="G313" s="914">
        <v>245.01753894190665</v>
      </c>
      <c r="H313" s="894">
        <f t="shared" si="8"/>
        <v>8.9462120648268684E-5</v>
      </c>
      <c r="I313" s="900">
        <f t="shared" si="9"/>
        <v>0.99640599400643781</v>
      </c>
      <c r="J313" s="950"/>
    </row>
    <row r="314" spans="2:10" ht="15" customHeight="1">
      <c r="B314" s="899" t="s">
        <v>2399</v>
      </c>
      <c r="C314" s="893" t="s">
        <v>950</v>
      </c>
      <c r="D314" s="643" t="s">
        <v>1011</v>
      </c>
      <c r="E314" s="893" t="s">
        <v>737</v>
      </c>
      <c r="F314" s="893">
        <v>4</v>
      </c>
      <c r="G314" s="914">
        <v>244.19892121304306</v>
      </c>
      <c r="H314" s="894">
        <f t="shared" si="8"/>
        <v>8.9163222543501693E-5</v>
      </c>
      <c r="I314" s="900">
        <f t="shared" si="9"/>
        <v>0.9964951572289813</v>
      </c>
      <c r="J314" s="950"/>
    </row>
    <row r="315" spans="2:10" ht="15" customHeight="1">
      <c r="B315" s="899" t="s">
        <v>1277</v>
      </c>
      <c r="C315" s="893" t="s">
        <v>891</v>
      </c>
      <c r="D315" s="643" t="s">
        <v>906</v>
      </c>
      <c r="E315" s="893" t="s">
        <v>737</v>
      </c>
      <c r="F315" s="893">
        <v>9</v>
      </c>
      <c r="G315" s="914">
        <v>241.74900106451429</v>
      </c>
      <c r="H315" s="894">
        <f t="shared" si="8"/>
        <v>8.8268694531944654E-5</v>
      </c>
      <c r="I315" s="900">
        <f t="shared" si="9"/>
        <v>0.99658342592351323</v>
      </c>
      <c r="J315" s="950"/>
    </row>
    <row r="316" spans="2:10" ht="15" customHeight="1">
      <c r="B316" s="899" t="s">
        <v>764</v>
      </c>
      <c r="C316" s="893" t="s">
        <v>878</v>
      </c>
      <c r="D316" s="643" t="s">
        <v>1510</v>
      </c>
      <c r="E316" s="893" t="s">
        <v>737</v>
      </c>
      <c r="F316" s="893">
        <v>8</v>
      </c>
      <c r="G316" s="914">
        <v>241.24845191154895</v>
      </c>
      <c r="H316" s="894">
        <f t="shared" si="8"/>
        <v>8.8085931335047177E-5</v>
      </c>
      <c r="I316" s="900">
        <f t="shared" si="9"/>
        <v>0.99667151185484826</v>
      </c>
      <c r="J316" s="950"/>
    </row>
    <row r="317" spans="2:10" ht="15" customHeight="1">
      <c r="B317" s="899" t="s">
        <v>2364</v>
      </c>
      <c r="C317" s="893" t="s">
        <v>921</v>
      </c>
      <c r="D317" s="643" t="s">
        <v>976</v>
      </c>
      <c r="E317" s="893" t="s">
        <v>737</v>
      </c>
      <c r="F317" s="893">
        <v>8</v>
      </c>
      <c r="G317" s="914">
        <v>235.89152290523407</v>
      </c>
      <c r="H317" s="894">
        <f t="shared" si="8"/>
        <v>8.6129980625817421E-5</v>
      </c>
      <c r="I317" s="900">
        <f t="shared" si="9"/>
        <v>0.99675764183547411</v>
      </c>
      <c r="J317" s="950"/>
    </row>
    <row r="318" spans="2:10" ht="30" customHeight="1">
      <c r="B318" s="899" t="s">
        <v>1385</v>
      </c>
      <c r="C318" s="893" t="s">
        <v>1394</v>
      </c>
      <c r="D318" s="643" t="s">
        <v>2160</v>
      </c>
      <c r="E318" s="893" t="s">
        <v>737</v>
      </c>
      <c r="F318" s="893">
        <v>1</v>
      </c>
      <c r="G318" s="914">
        <v>235.07361971811133</v>
      </c>
      <c r="H318" s="894">
        <f t="shared" si="8"/>
        <v>8.5831343418371118E-5</v>
      </c>
      <c r="I318" s="900">
        <f t="shared" si="9"/>
        <v>0.99684347317889244</v>
      </c>
      <c r="J318" s="950"/>
    </row>
    <row r="319" spans="2:10" ht="15" customHeight="1">
      <c r="B319" s="899" t="s">
        <v>708</v>
      </c>
      <c r="C319" s="893" t="s">
        <v>374</v>
      </c>
      <c r="D319" s="643" t="s">
        <v>2136</v>
      </c>
      <c r="E319" s="893" t="s">
        <v>737</v>
      </c>
      <c r="F319" s="893">
        <v>2</v>
      </c>
      <c r="G319" s="914">
        <v>228.27674518303508</v>
      </c>
      <c r="H319" s="894">
        <f t="shared" si="8"/>
        <v>8.3349632058792448E-5</v>
      </c>
      <c r="I319" s="900">
        <f t="shared" si="9"/>
        <v>0.99692682281095124</v>
      </c>
      <c r="J319" s="950"/>
    </row>
    <row r="320" spans="2:10" ht="15" customHeight="1">
      <c r="B320" s="899" t="s">
        <v>1426</v>
      </c>
      <c r="C320" s="893" t="s">
        <v>300</v>
      </c>
      <c r="D320" s="643" t="s">
        <v>2444</v>
      </c>
      <c r="E320" s="893" t="s">
        <v>737</v>
      </c>
      <c r="F320" s="893">
        <v>8</v>
      </c>
      <c r="G320" s="914">
        <v>225.84617338880508</v>
      </c>
      <c r="H320" s="894">
        <f t="shared" si="8"/>
        <v>8.2462168622343367E-5</v>
      </c>
      <c r="I320" s="900">
        <f t="shared" si="9"/>
        <v>0.99700928497957353</v>
      </c>
      <c r="J320" s="950"/>
    </row>
    <row r="321" spans="2:10" ht="15" customHeight="1">
      <c r="B321" s="899" t="s">
        <v>2418</v>
      </c>
      <c r="C321" s="893" t="s">
        <v>1604</v>
      </c>
      <c r="D321" s="643" t="s">
        <v>1602</v>
      </c>
      <c r="E321" s="893" t="s">
        <v>737</v>
      </c>
      <c r="F321" s="893">
        <v>1</v>
      </c>
      <c r="G321" s="914">
        <v>225.00871313640272</v>
      </c>
      <c r="H321" s="894">
        <f t="shared" si="8"/>
        <v>8.2156390634114063E-5</v>
      </c>
      <c r="I321" s="900">
        <f t="shared" si="9"/>
        <v>0.99709144137020767</v>
      </c>
      <c r="J321" s="950"/>
    </row>
    <row r="322" spans="2:10" ht="15" customHeight="1">
      <c r="B322" s="899" t="s">
        <v>2382</v>
      </c>
      <c r="C322" s="893" t="s">
        <v>938</v>
      </c>
      <c r="D322" s="643" t="s">
        <v>995</v>
      </c>
      <c r="E322" s="893" t="s">
        <v>737</v>
      </c>
      <c r="F322" s="893">
        <v>2</v>
      </c>
      <c r="G322" s="914">
        <v>215.46919282478336</v>
      </c>
      <c r="H322" s="894">
        <f t="shared" si="8"/>
        <v>7.8673269708444147E-5</v>
      </c>
      <c r="I322" s="900">
        <f t="shared" si="9"/>
        <v>0.99717011463991612</v>
      </c>
      <c r="J322" s="950"/>
    </row>
    <row r="323" spans="2:10" ht="15" customHeight="1">
      <c r="B323" s="899" t="s">
        <v>1439</v>
      </c>
      <c r="C323" s="893" t="s">
        <v>312</v>
      </c>
      <c r="D323" s="643" t="s">
        <v>158</v>
      </c>
      <c r="E323" s="893" t="s">
        <v>737</v>
      </c>
      <c r="F323" s="893">
        <v>14</v>
      </c>
      <c r="G323" s="914">
        <v>212.11852071217649</v>
      </c>
      <c r="H323" s="894">
        <f t="shared" ref="H323:H385" si="10">G323/$G$387</f>
        <v>7.7449854298733829E-5</v>
      </c>
      <c r="I323" s="900">
        <f t="shared" si="9"/>
        <v>0.99724756449421481</v>
      </c>
      <c r="J323" s="950"/>
    </row>
    <row r="324" spans="2:10" ht="15" customHeight="1">
      <c r="B324" s="899" t="s">
        <v>788</v>
      </c>
      <c r="C324" s="893" t="s">
        <v>303</v>
      </c>
      <c r="D324" s="643" t="s">
        <v>188</v>
      </c>
      <c r="E324" s="893" t="s">
        <v>737</v>
      </c>
      <c r="F324" s="893">
        <v>3</v>
      </c>
      <c r="G324" s="914">
        <v>211.30236368957679</v>
      </c>
      <c r="H324" s="894">
        <f t="shared" si="10"/>
        <v>7.7151854660262816E-5</v>
      </c>
      <c r="I324" s="900">
        <f t="shared" ref="I324:I385" si="11">H324+I323</f>
        <v>0.9973247163488751</v>
      </c>
      <c r="J324" s="950"/>
    </row>
    <row r="325" spans="2:10" ht="15" customHeight="1">
      <c r="B325" s="899" t="s">
        <v>729</v>
      </c>
      <c r="C325" s="893" t="s">
        <v>379</v>
      </c>
      <c r="D325" s="643" t="s">
        <v>812</v>
      </c>
      <c r="E325" s="893" t="s">
        <v>737</v>
      </c>
      <c r="F325" s="893">
        <v>1</v>
      </c>
      <c r="G325" s="914">
        <v>210.66396415736705</v>
      </c>
      <c r="H325" s="894">
        <f t="shared" si="10"/>
        <v>7.6918758792028299E-5</v>
      </c>
      <c r="I325" s="900">
        <f t="shared" si="11"/>
        <v>0.99740163510766711</v>
      </c>
      <c r="J325" s="950"/>
    </row>
    <row r="326" spans="2:10" ht="15" customHeight="1">
      <c r="B326" s="899" t="s">
        <v>2385</v>
      </c>
      <c r="C326" s="893" t="s">
        <v>940</v>
      </c>
      <c r="D326" s="643" t="s">
        <v>997</v>
      </c>
      <c r="E326" s="893" t="s">
        <v>737</v>
      </c>
      <c r="F326" s="893">
        <v>4</v>
      </c>
      <c r="G326" s="914">
        <v>210.59541861521106</v>
      </c>
      <c r="H326" s="894">
        <f t="shared" si="10"/>
        <v>7.6893731075283045E-5</v>
      </c>
      <c r="I326" s="900">
        <f t="shared" si="11"/>
        <v>0.99747852883874244</v>
      </c>
      <c r="J326" s="950"/>
    </row>
    <row r="327" spans="2:10" ht="15" customHeight="1">
      <c r="B327" s="899" t="s">
        <v>1351</v>
      </c>
      <c r="C327" s="893" t="s">
        <v>846</v>
      </c>
      <c r="D327" s="643" t="s">
        <v>854</v>
      </c>
      <c r="E327" s="893" t="s">
        <v>737</v>
      </c>
      <c r="F327" s="893">
        <v>60</v>
      </c>
      <c r="G327" s="914">
        <v>210.40470060214943</v>
      </c>
      <c r="H327" s="894">
        <f t="shared" si="10"/>
        <v>7.6824095089353216E-5</v>
      </c>
      <c r="I327" s="900">
        <f t="shared" si="11"/>
        <v>0.9975553529338318</v>
      </c>
      <c r="J327" s="950"/>
    </row>
    <row r="328" spans="2:10" ht="15" customHeight="1">
      <c r="B328" s="899" t="s">
        <v>783</v>
      </c>
      <c r="C328" s="893" t="s">
        <v>289</v>
      </c>
      <c r="D328" s="643" t="s">
        <v>184</v>
      </c>
      <c r="E328" s="893" t="s">
        <v>737</v>
      </c>
      <c r="F328" s="893">
        <v>2</v>
      </c>
      <c r="G328" s="914">
        <v>199.16285411384916</v>
      </c>
      <c r="H328" s="894">
        <f t="shared" si="10"/>
        <v>7.2719411681019386E-5</v>
      </c>
      <c r="I328" s="900">
        <f t="shared" si="11"/>
        <v>0.99762807234551276</v>
      </c>
      <c r="J328" s="950"/>
    </row>
    <row r="329" spans="2:10" ht="15" customHeight="1">
      <c r="B329" s="899" t="s">
        <v>2347</v>
      </c>
      <c r="C329" s="893" t="s">
        <v>252</v>
      </c>
      <c r="D329" s="643" t="s">
        <v>139</v>
      </c>
      <c r="E329" s="893" t="s">
        <v>13</v>
      </c>
      <c r="F329" s="893">
        <v>11</v>
      </c>
      <c r="G329" s="914">
        <v>188.82312297989213</v>
      </c>
      <c r="H329" s="894">
        <f t="shared" si="10"/>
        <v>6.8944113479219859E-5</v>
      </c>
      <c r="I329" s="900">
        <f t="shared" si="11"/>
        <v>0.997697016458992</v>
      </c>
      <c r="J329" s="950"/>
    </row>
    <row r="330" spans="2:10" ht="15" customHeight="1">
      <c r="B330" s="899" t="s">
        <v>1329</v>
      </c>
      <c r="C330" s="893" t="s">
        <v>381</v>
      </c>
      <c r="D330" s="643" t="s">
        <v>2142</v>
      </c>
      <c r="E330" s="893" t="s">
        <v>737</v>
      </c>
      <c r="F330" s="893">
        <v>1</v>
      </c>
      <c r="G330" s="914">
        <v>187.73782492206783</v>
      </c>
      <c r="H330" s="894">
        <f t="shared" si="10"/>
        <v>6.8547843619487777E-5</v>
      </c>
      <c r="I330" s="900">
        <f t="shared" si="11"/>
        <v>0.99776556430261154</v>
      </c>
      <c r="J330" s="950"/>
    </row>
    <row r="331" spans="2:10" ht="15" customHeight="1">
      <c r="B331" s="899" t="s">
        <v>1356</v>
      </c>
      <c r="C331" s="893" t="s">
        <v>888</v>
      </c>
      <c r="D331" s="643" t="s">
        <v>904</v>
      </c>
      <c r="E331" s="893" t="s">
        <v>737</v>
      </c>
      <c r="F331" s="893">
        <v>26</v>
      </c>
      <c r="G331" s="914">
        <v>187.21736613899367</v>
      </c>
      <c r="H331" s="894">
        <f t="shared" si="10"/>
        <v>6.835781091144205E-5</v>
      </c>
      <c r="I331" s="900">
        <f t="shared" si="11"/>
        <v>0.99783392211352295</v>
      </c>
      <c r="J331" s="950"/>
    </row>
    <row r="332" spans="2:10" ht="15" customHeight="1">
      <c r="B332" s="899" t="s">
        <v>1681</v>
      </c>
      <c r="C332" s="893" t="s">
        <v>1685</v>
      </c>
      <c r="D332" s="643" t="s">
        <v>2276</v>
      </c>
      <c r="E332" s="893" t="s">
        <v>737</v>
      </c>
      <c r="F332" s="893">
        <v>40</v>
      </c>
      <c r="G332" s="914">
        <v>187.0819277813552</v>
      </c>
      <c r="H332" s="894">
        <f t="shared" si="10"/>
        <v>6.8308358930397012E-5</v>
      </c>
      <c r="I332" s="900">
        <f t="shared" si="11"/>
        <v>0.9979022304724533</v>
      </c>
      <c r="J332" s="950"/>
    </row>
    <row r="333" spans="2:10" ht="15" customHeight="1">
      <c r="B333" s="899" t="s">
        <v>2351</v>
      </c>
      <c r="C333" s="893" t="s">
        <v>964</v>
      </c>
      <c r="D333" s="643" t="s">
        <v>861</v>
      </c>
      <c r="E333" s="893" t="s">
        <v>737</v>
      </c>
      <c r="F333" s="893">
        <v>60</v>
      </c>
      <c r="G333" s="914">
        <v>186.57843193731858</v>
      </c>
      <c r="H333" s="894">
        <f t="shared" si="10"/>
        <v>6.8124519821818809E-5</v>
      </c>
      <c r="I333" s="900">
        <f t="shared" si="11"/>
        <v>0.99797035499227515</v>
      </c>
      <c r="J333" s="950"/>
    </row>
    <row r="334" spans="2:10" ht="15" customHeight="1">
      <c r="B334" s="899" t="s">
        <v>795</v>
      </c>
      <c r="C334" s="893" t="s">
        <v>322</v>
      </c>
      <c r="D334" s="643" t="s">
        <v>154</v>
      </c>
      <c r="E334" s="893" t="s">
        <v>13</v>
      </c>
      <c r="F334" s="893">
        <v>4</v>
      </c>
      <c r="G334" s="914">
        <v>184.0550904010282</v>
      </c>
      <c r="H334" s="894">
        <f t="shared" si="10"/>
        <v>6.7203183798564069E-5</v>
      </c>
      <c r="I334" s="900">
        <f t="shared" si="11"/>
        <v>0.99803755817607376</v>
      </c>
      <c r="J334" s="950"/>
    </row>
    <row r="335" spans="2:10" ht="15" customHeight="1">
      <c r="B335" s="899" t="s">
        <v>1065</v>
      </c>
      <c r="C335" s="893" t="s">
        <v>234</v>
      </c>
      <c r="D335" s="643" t="s">
        <v>1378</v>
      </c>
      <c r="E335" s="893" t="s">
        <v>737</v>
      </c>
      <c r="F335" s="893">
        <v>11</v>
      </c>
      <c r="G335" s="914">
        <v>180.40950150262594</v>
      </c>
      <c r="H335" s="894">
        <f t="shared" si="10"/>
        <v>6.5872086787014297E-5</v>
      </c>
      <c r="I335" s="900">
        <f t="shared" si="11"/>
        <v>0.99810343026286075</v>
      </c>
      <c r="J335" s="950"/>
    </row>
    <row r="336" spans="2:10" ht="15" customHeight="1">
      <c r="B336" s="899" t="s">
        <v>2429</v>
      </c>
      <c r="C336" s="893" t="s">
        <v>267</v>
      </c>
      <c r="D336" s="643" t="s">
        <v>876</v>
      </c>
      <c r="E336" s="893" t="s">
        <v>737</v>
      </c>
      <c r="F336" s="893">
        <v>55</v>
      </c>
      <c r="G336" s="914">
        <v>178.36339589659755</v>
      </c>
      <c r="H336" s="894">
        <f t="shared" si="10"/>
        <v>6.5125001711488302E-5</v>
      </c>
      <c r="I336" s="900">
        <f t="shared" si="11"/>
        <v>0.99816855526457227</v>
      </c>
      <c r="J336" s="950"/>
    </row>
    <row r="337" spans="2:10" ht="15" customHeight="1">
      <c r="B337" s="899" t="s">
        <v>1437</v>
      </c>
      <c r="C337" s="893" t="s">
        <v>310</v>
      </c>
      <c r="D337" s="643" t="s">
        <v>157</v>
      </c>
      <c r="E337" s="893" t="s">
        <v>737</v>
      </c>
      <c r="F337" s="893">
        <v>2</v>
      </c>
      <c r="G337" s="914">
        <v>176.5373755945709</v>
      </c>
      <c r="H337" s="894">
        <f t="shared" si="10"/>
        <v>6.4458275364992634E-5</v>
      </c>
      <c r="I337" s="900">
        <f t="shared" si="11"/>
        <v>0.99823301353993721</v>
      </c>
      <c r="J337" s="950"/>
    </row>
    <row r="338" spans="2:10" ht="15" customHeight="1">
      <c r="B338" s="899" t="s">
        <v>800</v>
      </c>
      <c r="C338" s="893" t="s">
        <v>291</v>
      </c>
      <c r="D338" s="643" t="s">
        <v>2309</v>
      </c>
      <c r="E338" s="893" t="s">
        <v>737</v>
      </c>
      <c r="F338" s="893">
        <v>3</v>
      </c>
      <c r="G338" s="914">
        <v>174.04214095491426</v>
      </c>
      <c r="H338" s="894">
        <f t="shared" si="10"/>
        <v>6.3547201882895377E-5</v>
      </c>
      <c r="I338" s="900">
        <f t="shared" si="11"/>
        <v>0.99829656074182005</v>
      </c>
      <c r="J338" s="950"/>
    </row>
    <row r="339" spans="2:10" ht="15" customHeight="1">
      <c r="B339" s="899" t="s">
        <v>2369</v>
      </c>
      <c r="C339" s="893" t="s">
        <v>926</v>
      </c>
      <c r="D339" s="643" t="s">
        <v>981</v>
      </c>
      <c r="E339" s="893" t="s">
        <v>737</v>
      </c>
      <c r="F339" s="893">
        <v>8</v>
      </c>
      <c r="G339" s="914">
        <v>172.5249180064651</v>
      </c>
      <c r="H339" s="894">
        <f t="shared" si="10"/>
        <v>6.2993225285747927E-5</v>
      </c>
      <c r="I339" s="900">
        <f t="shared" si="11"/>
        <v>0.99835955396710585</v>
      </c>
      <c r="J339" s="950"/>
    </row>
    <row r="340" spans="2:10" ht="15" customHeight="1">
      <c r="B340" s="899" t="s">
        <v>2362</v>
      </c>
      <c r="C340" s="893" t="s">
        <v>919</v>
      </c>
      <c r="D340" s="643" t="s">
        <v>974</v>
      </c>
      <c r="E340" s="893" t="s">
        <v>737</v>
      </c>
      <c r="F340" s="893">
        <v>6</v>
      </c>
      <c r="G340" s="914">
        <v>171.87811678925075</v>
      </c>
      <c r="H340" s="894">
        <f t="shared" si="10"/>
        <v>6.2757061749130273E-5</v>
      </c>
      <c r="I340" s="900">
        <f t="shared" si="11"/>
        <v>0.99842231102885504</v>
      </c>
      <c r="J340" s="950"/>
    </row>
    <row r="341" spans="2:10" ht="15" customHeight="1">
      <c r="B341" s="899" t="s">
        <v>2351</v>
      </c>
      <c r="C341" s="893" t="s">
        <v>270</v>
      </c>
      <c r="D341" s="643" t="s">
        <v>861</v>
      </c>
      <c r="E341" s="893" t="s">
        <v>737</v>
      </c>
      <c r="F341" s="893">
        <v>55</v>
      </c>
      <c r="G341" s="914">
        <v>171.03022927587537</v>
      </c>
      <c r="H341" s="894">
        <f t="shared" si="10"/>
        <v>6.2447476503333909E-5</v>
      </c>
      <c r="I341" s="900">
        <f t="shared" si="11"/>
        <v>0.99848475850535834</v>
      </c>
      <c r="J341" s="950"/>
    </row>
    <row r="342" spans="2:10" ht="15" customHeight="1">
      <c r="B342" s="899" t="s">
        <v>1676</v>
      </c>
      <c r="C342" s="893" t="s">
        <v>320</v>
      </c>
      <c r="D342" s="643" t="s">
        <v>1634</v>
      </c>
      <c r="E342" s="893" t="s">
        <v>737</v>
      </c>
      <c r="F342" s="893">
        <v>16</v>
      </c>
      <c r="G342" s="914">
        <v>156.94162399091212</v>
      </c>
      <c r="H342" s="894">
        <f t="shared" si="10"/>
        <v>5.730336922345442E-5</v>
      </c>
      <c r="I342" s="900">
        <f t="shared" si="11"/>
        <v>0.99854206187458183</v>
      </c>
      <c r="J342" s="950"/>
    </row>
    <row r="343" spans="2:10" ht="15" customHeight="1">
      <c r="B343" s="899" t="s">
        <v>2394</v>
      </c>
      <c r="C343" s="893" t="s">
        <v>947</v>
      </c>
      <c r="D343" s="643" t="s">
        <v>1006</v>
      </c>
      <c r="E343" s="893" t="s">
        <v>737</v>
      </c>
      <c r="F343" s="893">
        <v>1</v>
      </c>
      <c r="G343" s="914">
        <v>148.538849566902</v>
      </c>
      <c r="H343" s="894">
        <f t="shared" si="10"/>
        <v>5.4235303065630451E-5</v>
      </c>
      <c r="I343" s="900">
        <f t="shared" si="11"/>
        <v>0.99859629717764742</v>
      </c>
      <c r="J343" s="950"/>
    </row>
    <row r="344" spans="2:10" ht="15" customHeight="1">
      <c r="B344" s="899" t="s">
        <v>1348</v>
      </c>
      <c r="C344" s="893" t="s">
        <v>838</v>
      </c>
      <c r="D344" s="643" t="s">
        <v>1202</v>
      </c>
      <c r="E344" s="893" t="s">
        <v>737</v>
      </c>
      <c r="F344" s="893">
        <v>1</v>
      </c>
      <c r="G344" s="914">
        <v>148.38459157248536</v>
      </c>
      <c r="H344" s="894">
        <f t="shared" si="10"/>
        <v>5.417897955766014E-5</v>
      </c>
      <c r="I344" s="900">
        <f t="shared" si="11"/>
        <v>0.99865047615720504</v>
      </c>
      <c r="J344" s="950"/>
    </row>
    <row r="345" spans="2:10" ht="15" customHeight="1">
      <c r="B345" s="899" t="s">
        <v>765</v>
      </c>
      <c r="C345" s="893" t="s">
        <v>879</v>
      </c>
      <c r="D345" s="643" t="s">
        <v>1511</v>
      </c>
      <c r="E345" s="893" t="s">
        <v>737</v>
      </c>
      <c r="F345" s="893">
        <v>3</v>
      </c>
      <c r="G345" s="914">
        <v>141.93171445974647</v>
      </c>
      <c r="H345" s="894">
        <f t="shared" si="10"/>
        <v>5.1822870385715629E-5</v>
      </c>
      <c r="I345" s="900">
        <f t="shared" si="11"/>
        <v>0.99870229902759078</v>
      </c>
      <c r="J345" s="950"/>
    </row>
    <row r="346" spans="2:10" ht="15" customHeight="1">
      <c r="B346" s="899" t="s">
        <v>2381</v>
      </c>
      <c r="C346" s="893" t="s">
        <v>937</v>
      </c>
      <c r="D346" s="643" t="s">
        <v>994</v>
      </c>
      <c r="E346" s="893" t="s">
        <v>737</v>
      </c>
      <c r="F346" s="893">
        <v>6</v>
      </c>
      <c r="G346" s="914">
        <v>138.75466422853063</v>
      </c>
      <c r="H346" s="894">
        <f t="shared" si="10"/>
        <v>5.0662848730457588E-5</v>
      </c>
      <c r="I346" s="900">
        <f t="shared" si="11"/>
        <v>0.99875296187632123</v>
      </c>
      <c r="J346" s="950"/>
    </row>
    <row r="347" spans="2:10" ht="15" customHeight="1">
      <c r="B347" s="899" t="s">
        <v>1213</v>
      </c>
      <c r="C347" s="893" t="s">
        <v>225</v>
      </c>
      <c r="D347" s="643" t="s">
        <v>896</v>
      </c>
      <c r="E347" s="893" t="s">
        <v>737</v>
      </c>
      <c r="F347" s="893">
        <v>7</v>
      </c>
      <c r="G347" s="914">
        <v>136.66749541972266</v>
      </c>
      <c r="H347" s="894">
        <f t="shared" si="10"/>
        <v>4.9900770437641358E-5</v>
      </c>
      <c r="I347" s="900">
        <f t="shared" si="11"/>
        <v>0.99880286264675888</v>
      </c>
      <c r="J347" s="950"/>
    </row>
    <row r="348" spans="2:10" ht="15" customHeight="1">
      <c r="B348" s="899" t="s">
        <v>1270</v>
      </c>
      <c r="C348" s="893" t="s">
        <v>1507</v>
      </c>
      <c r="D348" s="643" t="s">
        <v>1379</v>
      </c>
      <c r="E348" s="893" t="s">
        <v>737</v>
      </c>
      <c r="F348" s="893">
        <v>8</v>
      </c>
      <c r="G348" s="914">
        <v>136.34486975200903</v>
      </c>
      <c r="H348" s="894">
        <f t="shared" si="10"/>
        <v>4.9782971619916446E-5</v>
      </c>
      <c r="I348" s="900">
        <f t="shared" si="11"/>
        <v>0.99885264561837883</v>
      </c>
      <c r="J348" s="950"/>
    </row>
    <row r="349" spans="2:10" ht="15" customHeight="1">
      <c r="B349" s="899" t="s">
        <v>760</v>
      </c>
      <c r="C349" s="893" t="s">
        <v>802</v>
      </c>
      <c r="D349" s="643" t="s">
        <v>123</v>
      </c>
      <c r="E349" s="893" t="s">
        <v>737</v>
      </c>
      <c r="F349" s="893">
        <v>6</v>
      </c>
      <c r="G349" s="914">
        <v>132.38590436453231</v>
      </c>
      <c r="H349" s="894">
        <f t="shared" si="10"/>
        <v>4.8337452900455557E-5</v>
      </c>
      <c r="I349" s="900">
        <f t="shared" si="11"/>
        <v>0.99890098307127928</v>
      </c>
      <c r="J349" s="950"/>
    </row>
    <row r="350" spans="2:10" ht="15" customHeight="1">
      <c r="B350" s="899" t="s">
        <v>1663</v>
      </c>
      <c r="C350" s="893" t="s">
        <v>307</v>
      </c>
      <c r="D350" s="643" t="s">
        <v>1629</v>
      </c>
      <c r="E350" s="893" t="s">
        <v>737</v>
      </c>
      <c r="F350" s="893">
        <v>1</v>
      </c>
      <c r="G350" s="914">
        <v>131.44918863549961</v>
      </c>
      <c r="H350" s="894">
        <f t="shared" si="10"/>
        <v>4.7995434219157304E-5</v>
      </c>
      <c r="I350" s="900">
        <f t="shared" si="11"/>
        <v>0.99894897850549846</v>
      </c>
      <c r="J350" s="950"/>
    </row>
    <row r="351" spans="2:10" ht="15" customHeight="1">
      <c r="B351" s="899" t="s">
        <v>1271</v>
      </c>
      <c r="C351" s="893" t="s">
        <v>883</v>
      </c>
      <c r="D351" s="643" t="s">
        <v>900</v>
      </c>
      <c r="E351" s="893" t="s">
        <v>737</v>
      </c>
      <c r="F351" s="893">
        <v>1</v>
      </c>
      <c r="G351" s="914">
        <v>130.98101945953476</v>
      </c>
      <c r="H351" s="894">
        <f t="shared" si="10"/>
        <v>4.7824493773486198E-5</v>
      </c>
      <c r="I351" s="900">
        <f t="shared" si="11"/>
        <v>0.99899680299927196</v>
      </c>
      <c r="J351" s="950"/>
    </row>
    <row r="352" spans="2:10" ht="15" customHeight="1">
      <c r="B352" s="899" t="s">
        <v>2365</v>
      </c>
      <c r="C352" s="893" t="s">
        <v>922</v>
      </c>
      <c r="D352" s="643" t="s">
        <v>977</v>
      </c>
      <c r="E352" s="893" t="s">
        <v>737</v>
      </c>
      <c r="F352" s="893">
        <v>4</v>
      </c>
      <c r="G352" s="914">
        <v>130.90711245463797</v>
      </c>
      <c r="H352" s="894">
        <f t="shared" si="10"/>
        <v>4.7797508450650198E-5</v>
      </c>
      <c r="I352" s="900">
        <f t="shared" si="11"/>
        <v>0.99904460050772259</v>
      </c>
      <c r="J352" s="950"/>
    </row>
    <row r="353" spans="2:10" ht="15" customHeight="1">
      <c r="B353" s="899" t="s">
        <v>1118</v>
      </c>
      <c r="C353" s="893" t="s">
        <v>399</v>
      </c>
      <c r="D353" s="643" t="s">
        <v>1100</v>
      </c>
      <c r="E353" s="893" t="s">
        <v>737</v>
      </c>
      <c r="F353" s="893">
        <v>54</v>
      </c>
      <c r="G353" s="914">
        <v>130.20685395719033</v>
      </c>
      <c r="H353" s="894">
        <f t="shared" si="10"/>
        <v>4.7541826304571307E-5</v>
      </c>
      <c r="I353" s="900">
        <f t="shared" si="11"/>
        <v>0.99909214233402721</v>
      </c>
      <c r="J353" s="950"/>
    </row>
    <row r="354" spans="2:10" ht="15" customHeight="1">
      <c r="B354" s="899" t="s">
        <v>2430</v>
      </c>
      <c r="C354" s="893" t="s">
        <v>869</v>
      </c>
      <c r="D354" s="643" t="s">
        <v>125</v>
      </c>
      <c r="E354" s="893" t="s">
        <v>13</v>
      </c>
      <c r="F354" s="893">
        <v>25</v>
      </c>
      <c r="G354" s="914">
        <v>129.11218812300791</v>
      </c>
      <c r="H354" s="894">
        <f t="shared" si="10"/>
        <v>4.7142136031988879E-5</v>
      </c>
      <c r="I354" s="900">
        <f t="shared" si="11"/>
        <v>0.99913928447005917</v>
      </c>
      <c r="J354" s="950"/>
    </row>
    <row r="355" spans="2:10" ht="15" customHeight="1">
      <c r="B355" s="899" t="s">
        <v>2395</v>
      </c>
      <c r="C355" s="893" t="s">
        <v>948</v>
      </c>
      <c r="D355" s="643" t="s">
        <v>1007</v>
      </c>
      <c r="E355" s="893" t="s">
        <v>737</v>
      </c>
      <c r="F355" s="893">
        <v>2</v>
      </c>
      <c r="G355" s="914">
        <v>126.65993595908445</v>
      </c>
      <c r="H355" s="894">
        <f t="shared" si="10"/>
        <v>4.6246756542437669E-5</v>
      </c>
      <c r="I355" s="900">
        <f t="shared" si="11"/>
        <v>0.99918553122660159</v>
      </c>
      <c r="J355" s="950"/>
    </row>
    <row r="356" spans="2:10" ht="15" customHeight="1">
      <c r="B356" s="899" t="s">
        <v>1118</v>
      </c>
      <c r="C356" s="893" t="s">
        <v>401</v>
      </c>
      <c r="D356" s="643" t="s">
        <v>1102</v>
      </c>
      <c r="E356" s="893" t="s">
        <v>737</v>
      </c>
      <c r="F356" s="893">
        <v>52</v>
      </c>
      <c r="G356" s="914">
        <v>125.38437788470182</v>
      </c>
      <c r="H356" s="894">
        <f t="shared" si="10"/>
        <v>4.578101792292052E-5</v>
      </c>
      <c r="I356" s="900">
        <f t="shared" si="11"/>
        <v>0.99923131224452455</v>
      </c>
      <c r="J356" s="950"/>
    </row>
    <row r="357" spans="2:10" ht="15" customHeight="1">
      <c r="B357" s="899" t="s">
        <v>2393</v>
      </c>
      <c r="C357" s="893" t="s">
        <v>946</v>
      </c>
      <c r="D357" s="643" t="s">
        <v>1005</v>
      </c>
      <c r="E357" s="893" t="s">
        <v>737</v>
      </c>
      <c r="F357" s="893">
        <v>1</v>
      </c>
      <c r="G357" s="914">
        <v>119.73584734018883</v>
      </c>
      <c r="H357" s="894">
        <f t="shared" si="10"/>
        <v>4.3718596092871593E-5</v>
      </c>
      <c r="I357" s="900">
        <f t="shared" si="11"/>
        <v>0.99927503084061742</v>
      </c>
      <c r="J357" s="950"/>
    </row>
    <row r="358" spans="2:10" ht="15" customHeight="1">
      <c r="B358" s="899" t="s">
        <v>2370</v>
      </c>
      <c r="C358" s="893" t="s">
        <v>927</v>
      </c>
      <c r="D358" s="643" t="s">
        <v>982</v>
      </c>
      <c r="E358" s="893" t="s">
        <v>737</v>
      </c>
      <c r="F358" s="893">
        <v>4</v>
      </c>
      <c r="G358" s="914">
        <v>116.0255613041695</v>
      </c>
      <c r="H358" s="894">
        <f t="shared" si="10"/>
        <v>4.2363876514724789E-5</v>
      </c>
      <c r="I358" s="900">
        <f t="shared" si="11"/>
        <v>0.9993173947171321</v>
      </c>
      <c r="J358" s="950"/>
    </row>
    <row r="359" spans="2:10" ht="15" customHeight="1">
      <c r="B359" s="899" t="s">
        <v>1216</v>
      </c>
      <c r="C359" s="893" t="s">
        <v>882</v>
      </c>
      <c r="D359" s="643" t="s">
        <v>899</v>
      </c>
      <c r="E359" s="893" t="s">
        <v>737</v>
      </c>
      <c r="F359" s="893">
        <v>1</v>
      </c>
      <c r="G359" s="914">
        <v>107.03103231815928</v>
      </c>
      <c r="H359" s="894">
        <f t="shared" si="10"/>
        <v>3.9079745750879422E-5</v>
      </c>
      <c r="I359" s="900">
        <f t="shared" si="11"/>
        <v>0.999356474462883</v>
      </c>
      <c r="J359" s="950"/>
    </row>
    <row r="360" spans="2:10" ht="15" customHeight="1">
      <c r="B360" s="899" t="s">
        <v>2430</v>
      </c>
      <c r="C360" s="893" t="s">
        <v>1032</v>
      </c>
      <c r="D360" s="643" t="s">
        <v>125</v>
      </c>
      <c r="E360" s="893" t="s">
        <v>13</v>
      </c>
      <c r="F360" s="893">
        <v>20</v>
      </c>
      <c r="G360" s="914">
        <v>103.28975049840633</v>
      </c>
      <c r="H360" s="894">
        <f t="shared" si="10"/>
        <v>3.7713708825591107E-5</v>
      </c>
      <c r="I360" s="900">
        <f t="shared" si="11"/>
        <v>0.99939418817170855</v>
      </c>
      <c r="J360" s="950"/>
    </row>
    <row r="361" spans="2:10" ht="15" customHeight="1">
      <c r="B361" s="899" t="s">
        <v>757</v>
      </c>
      <c r="C361" s="893" t="s">
        <v>233</v>
      </c>
      <c r="D361" s="643" t="s">
        <v>116</v>
      </c>
      <c r="E361" s="893" t="s">
        <v>737</v>
      </c>
      <c r="F361" s="893">
        <v>3</v>
      </c>
      <c r="G361" s="914">
        <v>103.1622280800525</v>
      </c>
      <c r="H361" s="894">
        <f t="shared" si="10"/>
        <v>3.7667147154841349E-5</v>
      </c>
      <c r="I361" s="900">
        <f t="shared" si="11"/>
        <v>0.99943185531886336</v>
      </c>
      <c r="J361" s="950"/>
    </row>
    <row r="362" spans="2:10" ht="15" customHeight="1">
      <c r="B362" s="899" t="s">
        <v>2392</v>
      </c>
      <c r="C362" s="893" t="s">
        <v>945</v>
      </c>
      <c r="D362" s="643" t="s">
        <v>1004</v>
      </c>
      <c r="E362" s="893" t="s">
        <v>737</v>
      </c>
      <c r="F362" s="893">
        <v>4</v>
      </c>
      <c r="G362" s="914">
        <v>101.62406019081291</v>
      </c>
      <c r="H362" s="894">
        <f t="shared" si="10"/>
        <v>3.7105523028345357E-5</v>
      </c>
      <c r="I362" s="900">
        <f t="shared" si="11"/>
        <v>0.99946896084189174</v>
      </c>
      <c r="J362" s="950"/>
    </row>
    <row r="363" spans="2:10" ht="15" customHeight="1">
      <c r="B363" s="899" t="s">
        <v>1662</v>
      </c>
      <c r="C363" s="893" t="s">
        <v>306</v>
      </c>
      <c r="D363" s="643" t="s">
        <v>1628</v>
      </c>
      <c r="E363" s="893" t="s">
        <v>737</v>
      </c>
      <c r="F363" s="893">
        <v>1</v>
      </c>
      <c r="G363" s="914">
        <v>100.89400377332805</v>
      </c>
      <c r="H363" s="894">
        <f t="shared" si="10"/>
        <v>3.6838960905555614E-5</v>
      </c>
      <c r="I363" s="900">
        <f t="shared" si="11"/>
        <v>0.9995057998027973</v>
      </c>
      <c r="J363" s="950"/>
    </row>
    <row r="364" spans="2:10" ht="15" customHeight="1">
      <c r="B364" s="899" t="s">
        <v>2361</v>
      </c>
      <c r="C364" s="893" t="s">
        <v>918</v>
      </c>
      <c r="D364" s="643" t="s">
        <v>973</v>
      </c>
      <c r="E364" s="893" t="s">
        <v>737</v>
      </c>
      <c r="F364" s="893">
        <v>4</v>
      </c>
      <c r="G364" s="914">
        <v>100.18391007947724</v>
      </c>
      <c r="H364" s="894">
        <f t="shared" si="10"/>
        <v>3.6579687679707412E-5</v>
      </c>
      <c r="I364" s="900">
        <f t="shared" si="11"/>
        <v>0.99954237949047697</v>
      </c>
      <c r="J364" s="950"/>
    </row>
    <row r="365" spans="2:10" ht="15" customHeight="1">
      <c r="B365" s="899" t="s">
        <v>727</v>
      </c>
      <c r="C365" s="893" t="s">
        <v>375</v>
      </c>
      <c r="D365" s="643" t="s">
        <v>2137</v>
      </c>
      <c r="E365" s="893" t="s">
        <v>737</v>
      </c>
      <c r="F365" s="893">
        <v>2</v>
      </c>
      <c r="G365" s="914">
        <v>100.06643023597265</v>
      </c>
      <c r="H365" s="894">
        <f t="shared" si="10"/>
        <v>3.653679280785973E-5</v>
      </c>
      <c r="I365" s="900">
        <f t="shared" si="11"/>
        <v>0.99957891628328488</v>
      </c>
      <c r="J365" s="950"/>
    </row>
    <row r="366" spans="2:10" ht="15" customHeight="1">
      <c r="B366" s="899" t="s">
        <v>1093</v>
      </c>
      <c r="C366" s="893" t="s">
        <v>886</v>
      </c>
      <c r="D366" s="643" t="s">
        <v>902</v>
      </c>
      <c r="E366" s="893" t="s">
        <v>737</v>
      </c>
      <c r="F366" s="893">
        <v>16</v>
      </c>
      <c r="G366" s="914">
        <v>95.206702565217256</v>
      </c>
      <c r="H366" s="894">
        <f t="shared" si="10"/>
        <v>3.4762382922443608E-5</v>
      </c>
      <c r="I366" s="900">
        <f t="shared" si="11"/>
        <v>0.99961367866620732</v>
      </c>
      <c r="J366" s="950"/>
    </row>
    <row r="367" spans="2:10" ht="15" customHeight="1">
      <c r="B367" s="899" t="s">
        <v>2431</v>
      </c>
      <c r="C367" s="893" t="s">
        <v>272</v>
      </c>
      <c r="D367" s="643" t="s">
        <v>126</v>
      </c>
      <c r="E367" s="893" t="s">
        <v>737</v>
      </c>
      <c r="F367" s="893">
        <v>8</v>
      </c>
      <c r="G367" s="914">
        <v>90.073835581442594</v>
      </c>
      <c r="H367" s="894">
        <f t="shared" si="10"/>
        <v>3.2888242943089563E-5</v>
      </c>
      <c r="I367" s="900">
        <f t="shared" si="11"/>
        <v>0.99964656690915044</v>
      </c>
      <c r="J367" s="950"/>
    </row>
    <row r="368" spans="2:10" ht="15" customHeight="1">
      <c r="B368" s="899" t="s">
        <v>1424</v>
      </c>
      <c r="C368" s="893" t="s">
        <v>298</v>
      </c>
      <c r="D368" s="643" t="s">
        <v>2442</v>
      </c>
      <c r="E368" s="893" t="s">
        <v>737</v>
      </c>
      <c r="F368" s="893">
        <v>3</v>
      </c>
      <c r="G368" s="914">
        <v>88.724735332541741</v>
      </c>
      <c r="H368" s="894">
        <f t="shared" si="10"/>
        <v>3.2395652209564998E-5</v>
      </c>
      <c r="I368" s="900">
        <f t="shared" si="11"/>
        <v>0.99967896256136002</v>
      </c>
      <c r="J368" s="950"/>
    </row>
    <row r="369" spans="2:10" ht="15" customHeight="1">
      <c r="B369" s="899" t="s">
        <v>728</v>
      </c>
      <c r="C369" s="893" t="s">
        <v>376</v>
      </c>
      <c r="D369" s="643" t="s">
        <v>2138</v>
      </c>
      <c r="E369" s="893" t="s">
        <v>737</v>
      </c>
      <c r="F369" s="893">
        <v>2</v>
      </c>
      <c r="G369" s="914">
        <v>82.735587383998237</v>
      </c>
      <c r="H369" s="894">
        <f t="shared" si="10"/>
        <v>3.0208862322331792E-5</v>
      </c>
      <c r="I369" s="900">
        <f t="shared" si="11"/>
        <v>0.99970917142368232</v>
      </c>
      <c r="J369" s="950"/>
    </row>
    <row r="370" spans="2:10" ht="15" customHeight="1">
      <c r="B370" s="899" t="s">
        <v>1353</v>
      </c>
      <c r="C370" s="893" t="s">
        <v>848</v>
      </c>
      <c r="D370" s="643" t="s">
        <v>856</v>
      </c>
      <c r="E370" s="893" t="s">
        <v>737</v>
      </c>
      <c r="F370" s="893">
        <v>20</v>
      </c>
      <c r="G370" s="914">
        <v>80.455975998622023</v>
      </c>
      <c r="H370" s="894">
        <f t="shared" si="10"/>
        <v>2.9376518361689663E-5</v>
      </c>
      <c r="I370" s="900">
        <f t="shared" si="11"/>
        <v>0.99973854794204398</v>
      </c>
      <c r="J370" s="950"/>
    </row>
    <row r="371" spans="2:10" ht="15" customHeight="1">
      <c r="B371" s="899" t="s">
        <v>1674</v>
      </c>
      <c r="C371" s="893" t="s">
        <v>317</v>
      </c>
      <c r="D371" s="643" t="s">
        <v>1632</v>
      </c>
      <c r="E371" s="893" t="s">
        <v>737</v>
      </c>
      <c r="F371" s="893">
        <v>1</v>
      </c>
      <c r="G371" s="914">
        <v>74.890917393548335</v>
      </c>
      <c r="H371" s="894">
        <f t="shared" si="10"/>
        <v>2.7344574254782972E-5</v>
      </c>
      <c r="I371" s="900">
        <f t="shared" si="11"/>
        <v>0.99976589251629877</v>
      </c>
      <c r="J371" s="950"/>
    </row>
    <row r="372" spans="2:10" ht="15" customHeight="1">
      <c r="B372" s="899" t="s">
        <v>1116</v>
      </c>
      <c r="C372" s="893" t="s">
        <v>96</v>
      </c>
      <c r="D372" s="643" t="s">
        <v>1097</v>
      </c>
      <c r="E372" s="893" t="s">
        <v>4</v>
      </c>
      <c r="F372" s="893">
        <v>13.94</v>
      </c>
      <c r="G372" s="914">
        <v>72.832971486914019</v>
      </c>
      <c r="H372" s="894">
        <f t="shared" si="10"/>
        <v>2.6593165985064853E-5</v>
      </c>
      <c r="I372" s="900">
        <f t="shared" si="11"/>
        <v>0.99979248568228385</v>
      </c>
      <c r="J372" s="950"/>
    </row>
    <row r="373" spans="2:10" ht="15" customHeight="1">
      <c r="B373" s="899" t="s">
        <v>1354</v>
      </c>
      <c r="C373" s="893" t="s">
        <v>849</v>
      </c>
      <c r="D373" s="643" t="s">
        <v>857</v>
      </c>
      <c r="E373" s="893" t="s">
        <v>737</v>
      </c>
      <c r="F373" s="893">
        <v>14</v>
      </c>
      <c r="G373" s="914">
        <v>63.879971283547626</v>
      </c>
      <c r="H373" s="894">
        <f t="shared" si="10"/>
        <v>2.3324198433531965E-5</v>
      </c>
      <c r="I373" s="900">
        <f t="shared" si="11"/>
        <v>0.99981580988071739</v>
      </c>
      <c r="J373" s="950"/>
    </row>
    <row r="374" spans="2:10" ht="15" customHeight="1">
      <c r="B374" s="899" t="s">
        <v>718</v>
      </c>
      <c r="C374" s="893" t="s">
        <v>770</v>
      </c>
      <c r="D374" s="643" t="s">
        <v>90</v>
      </c>
      <c r="E374" s="893" t="s">
        <v>13</v>
      </c>
      <c r="F374" s="893">
        <v>81.320000000000007</v>
      </c>
      <c r="G374" s="914">
        <v>63.644636649589266</v>
      </c>
      <c r="H374" s="894">
        <f t="shared" si="10"/>
        <v>2.3238271787191392E-5</v>
      </c>
      <c r="I374" s="900">
        <f t="shared" si="11"/>
        <v>0.99983904815250457</v>
      </c>
      <c r="J374" s="950"/>
    </row>
    <row r="375" spans="2:10" ht="15" customHeight="1">
      <c r="B375" s="899" t="s">
        <v>1352</v>
      </c>
      <c r="C375" s="893" t="s">
        <v>847</v>
      </c>
      <c r="D375" s="643" t="s">
        <v>855</v>
      </c>
      <c r="E375" s="893" t="s">
        <v>737</v>
      </c>
      <c r="F375" s="893">
        <v>20</v>
      </c>
      <c r="G375" s="914">
        <v>62.934149644038186</v>
      </c>
      <c r="H375" s="894">
        <f t="shared" si="10"/>
        <v>2.297885495326136E-5</v>
      </c>
      <c r="I375" s="900">
        <f t="shared" si="11"/>
        <v>0.99986202700745785</v>
      </c>
      <c r="J375" s="950"/>
    </row>
    <row r="376" spans="2:10" ht="15" customHeight="1">
      <c r="B376" s="899" t="s">
        <v>2402</v>
      </c>
      <c r="C376" s="893" t="s">
        <v>953</v>
      </c>
      <c r="D376" s="643" t="s">
        <v>1014</v>
      </c>
      <c r="E376" s="893" t="s">
        <v>737</v>
      </c>
      <c r="F376" s="893">
        <v>2</v>
      </c>
      <c r="G376" s="914">
        <v>57.292705596416916</v>
      </c>
      <c r="H376" s="894">
        <f t="shared" si="10"/>
        <v>2.0919020583043422E-5</v>
      </c>
      <c r="I376" s="900">
        <f t="shared" si="11"/>
        <v>0.99988294602804095</v>
      </c>
      <c r="J376" s="950"/>
    </row>
    <row r="377" spans="2:10" ht="15" customHeight="1">
      <c r="B377" s="899" t="s">
        <v>767</v>
      </c>
      <c r="C377" s="893" t="s">
        <v>881</v>
      </c>
      <c r="D377" s="643" t="s">
        <v>393</v>
      </c>
      <c r="E377" s="893" t="s">
        <v>737</v>
      </c>
      <c r="F377" s="893">
        <v>2</v>
      </c>
      <c r="G377" s="914">
        <v>56.78293765609034</v>
      </c>
      <c r="H377" s="894">
        <f t="shared" si="10"/>
        <v>2.0732891372958881E-5</v>
      </c>
      <c r="I377" s="900">
        <f t="shared" si="11"/>
        <v>0.9999036789194139</v>
      </c>
      <c r="J377" s="950"/>
    </row>
    <row r="378" spans="2:10" ht="15" customHeight="1">
      <c r="B378" s="899" t="s">
        <v>2371</v>
      </c>
      <c r="C378" s="893" t="s">
        <v>928</v>
      </c>
      <c r="D378" s="643" t="s">
        <v>983</v>
      </c>
      <c r="E378" s="893" t="s">
        <v>737</v>
      </c>
      <c r="F378" s="893">
        <v>2</v>
      </c>
      <c r="G378" s="914">
        <v>54.892455410857487</v>
      </c>
      <c r="H378" s="894">
        <f t="shared" si="10"/>
        <v>2.0042628335313517E-5</v>
      </c>
      <c r="I378" s="900">
        <f t="shared" si="11"/>
        <v>0.99992372154774922</v>
      </c>
      <c r="J378" s="950"/>
    </row>
    <row r="379" spans="2:10" ht="15" customHeight="1">
      <c r="B379" s="899" t="s">
        <v>1137</v>
      </c>
      <c r="C379" s="893" t="s">
        <v>314</v>
      </c>
      <c r="D379" s="643" t="s">
        <v>160</v>
      </c>
      <c r="E379" s="893" t="s">
        <v>737</v>
      </c>
      <c r="F379" s="893">
        <v>3</v>
      </c>
      <c r="G379" s="914">
        <v>52.945001033223818</v>
      </c>
      <c r="H379" s="894">
        <f t="shared" si="10"/>
        <v>1.9331563326493188E-5</v>
      </c>
      <c r="I379" s="900">
        <f t="shared" si="11"/>
        <v>0.99994305311107567</v>
      </c>
      <c r="J379" s="950"/>
    </row>
    <row r="380" spans="2:10" ht="15" customHeight="1">
      <c r="B380" s="899" t="s">
        <v>2372</v>
      </c>
      <c r="C380" s="893" t="s">
        <v>929</v>
      </c>
      <c r="D380" s="643" t="s">
        <v>984</v>
      </c>
      <c r="E380" s="893" t="s">
        <v>737</v>
      </c>
      <c r="F380" s="893">
        <v>2</v>
      </c>
      <c r="G380" s="914">
        <v>52.732230243853998</v>
      </c>
      <c r="H380" s="894">
        <f t="shared" si="10"/>
        <v>1.9253875312356603E-5</v>
      </c>
      <c r="I380" s="900">
        <f t="shared" si="11"/>
        <v>0.99996230698638799</v>
      </c>
      <c r="J380" s="950"/>
    </row>
    <row r="381" spans="2:10" ht="15" customHeight="1">
      <c r="B381" s="899" t="s">
        <v>1212</v>
      </c>
      <c r="C381" s="893" t="s">
        <v>223</v>
      </c>
      <c r="D381" s="643" t="s">
        <v>1509</v>
      </c>
      <c r="E381" s="893" t="s">
        <v>737</v>
      </c>
      <c r="F381" s="893">
        <v>2</v>
      </c>
      <c r="G381" s="914">
        <v>45.275620560145569</v>
      </c>
      <c r="H381" s="894">
        <f t="shared" si="10"/>
        <v>1.6531277909608481E-5</v>
      </c>
      <c r="I381" s="900">
        <f t="shared" si="11"/>
        <v>0.99997883826429756</v>
      </c>
      <c r="J381" s="950"/>
    </row>
    <row r="382" spans="2:10" ht="15" customHeight="1">
      <c r="B382" s="899" t="s">
        <v>1665</v>
      </c>
      <c r="C382" s="893" t="s">
        <v>1644</v>
      </c>
      <c r="D382" s="643" t="s">
        <v>1630</v>
      </c>
      <c r="E382" s="893" t="s">
        <v>737</v>
      </c>
      <c r="F382" s="893">
        <v>1</v>
      </c>
      <c r="G382" s="914">
        <v>21.297980684088134</v>
      </c>
      <c r="H382" s="894">
        <f t="shared" si="10"/>
        <v>7.7764331718969214E-6</v>
      </c>
      <c r="I382" s="900">
        <f t="shared" si="11"/>
        <v>0.99998661469746941</v>
      </c>
      <c r="J382" s="950"/>
    </row>
    <row r="383" spans="2:10" ht="15" customHeight="1">
      <c r="B383" s="899" t="s">
        <v>1355</v>
      </c>
      <c r="C383" s="893" t="s">
        <v>850</v>
      </c>
      <c r="D383" s="643" t="s">
        <v>858</v>
      </c>
      <c r="E383" s="893" t="s">
        <v>737</v>
      </c>
      <c r="F383" s="893">
        <v>3</v>
      </c>
      <c r="G383" s="914">
        <v>17.540966822868807</v>
      </c>
      <c r="H383" s="894">
        <f t="shared" si="10"/>
        <v>6.4046520790776333E-6</v>
      </c>
      <c r="I383" s="900">
        <f t="shared" si="11"/>
        <v>0.99999301934954854</v>
      </c>
      <c r="J383" s="950"/>
    </row>
    <row r="384" spans="2:10" ht="15" customHeight="1">
      <c r="B384" s="899" t="s">
        <v>1678</v>
      </c>
      <c r="C384" s="893" t="s">
        <v>1683</v>
      </c>
      <c r="D384" s="643" t="s">
        <v>2312</v>
      </c>
      <c r="E384" s="893" t="s">
        <v>737</v>
      </c>
      <c r="F384" s="893">
        <v>1</v>
      </c>
      <c r="G384" s="914">
        <v>13.954015161721079</v>
      </c>
      <c r="H384" s="894">
        <f t="shared" si="10"/>
        <v>5.0949650107360075E-6</v>
      </c>
      <c r="I384" s="900">
        <f t="shared" si="11"/>
        <v>0.99999811431455932</v>
      </c>
      <c r="J384" s="950"/>
    </row>
    <row r="385" spans="2:10" ht="15.75" customHeight="1" thickBot="1">
      <c r="B385" s="901" t="s">
        <v>2430</v>
      </c>
      <c r="C385" s="902" t="s">
        <v>271</v>
      </c>
      <c r="D385" s="700" t="s">
        <v>125</v>
      </c>
      <c r="E385" s="902" t="s">
        <v>13</v>
      </c>
      <c r="F385" s="902">
        <v>1</v>
      </c>
      <c r="G385" s="916">
        <v>5.1644875249203164</v>
      </c>
      <c r="H385" s="903">
        <f t="shared" si="10"/>
        <v>1.8856854412795552E-6</v>
      </c>
      <c r="I385" s="904">
        <f t="shared" si="11"/>
        <v>1.0000000000000007</v>
      </c>
      <c r="J385" s="951"/>
    </row>
    <row r="387" spans="2:10" s="68" customFormat="1">
      <c r="D387" s="360" t="s">
        <v>696</v>
      </c>
      <c r="G387" s="359">
        <f>SUM(G2:G385)</f>
        <v>2738785.2776844315</v>
      </c>
    </row>
  </sheetData>
  <autoFilter ref="B1:L1">
    <sortState ref="B2:L385">
      <sortCondition descending="1" ref="G1"/>
    </sortState>
  </autoFilter>
  <mergeCells count="3">
    <mergeCell ref="J2:J74"/>
    <mergeCell ref="J75:J167"/>
    <mergeCell ref="J168:J385"/>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workbookViewId="0">
      <selection activeCell="G19" sqref="G19"/>
    </sheetView>
  </sheetViews>
  <sheetFormatPr defaultRowHeight="15"/>
  <cols>
    <col min="3" max="3" width="36.28515625" bestFit="1" customWidth="1"/>
    <col min="5" max="5" width="13.28515625" customWidth="1"/>
    <col min="8" max="8" width="14.140625" customWidth="1"/>
    <col min="9" max="9" width="13.5703125" customWidth="1"/>
    <col min="10" max="10" width="13.7109375" customWidth="1"/>
    <col min="11" max="11" width="11.42578125" bestFit="1" customWidth="1"/>
    <col min="12" max="12" width="12.140625" customWidth="1"/>
    <col min="13" max="13" width="12.42578125" customWidth="1"/>
    <col min="14" max="14" width="13.5703125" customWidth="1"/>
    <col min="15" max="15" width="11.42578125" bestFit="1" customWidth="1"/>
  </cols>
  <sheetData>
    <row r="1" spans="1:20" ht="15.75" thickBot="1"/>
    <row r="2" spans="1:20" ht="15.75" thickBot="1">
      <c r="S2" s="670" t="s">
        <v>2468</v>
      </c>
      <c r="T2" s="671">
        <v>1.25</v>
      </c>
    </row>
    <row r="4" spans="1:20" s="68" customFormat="1" ht="15.75" thickBot="1">
      <c r="A4" s="68" t="s">
        <v>2450</v>
      </c>
      <c r="H4" s="647"/>
      <c r="S4" s="28"/>
      <c r="T4" s="28"/>
    </row>
    <row r="5" spans="1:20" s="68" customFormat="1" ht="34.5" thickBot="1">
      <c r="A5" s="648" t="s">
        <v>1691</v>
      </c>
      <c r="B5" s="33"/>
      <c r="C5" s="649" t="s">
        <v>2451</v>
      </c>
      <c r="D5" s="649" t="s">
        <v>2452</v>
      </c>
      <c r="E5" s="648" t="s">
        <v>2453</v>
      </c>
      <c r="F5" s="649" t="s">
        <v>2454</v>
      </c>
      <c r="H5" s="647"/>
      <c r="I5" s="650" t="s">
        <v>2455</v>
      </c>
      <c r="J5" s="673" t="s">
        <v>2456</v>
      </c>
      <c r="K5" s="674" t="s">
        <v>2457</v>
      </c>
      <c r="L5" s="672" t="s">
        <v>2458</v>
      </c>
      <c r="M5" s="673" t="s">
        <v>2459</v>
      </c>
      <c r="N5" s="673" t="s">
        <v>2460</v>
      </c>
      <c r="O5" s="674" t="s">
        <v>2461</v>
      </c>
      <c r="P5" s="651" t="s">
        <v>2462</v>
      </c>
      <c r="Q5" s="651" t="s">
        <v>2463</v>
      </c>
      <c r="S5" s="28"/>
      <c r="T5" s="28"/>
    </row>
    <row r="6" spans="1:20" s="68" customFormat="1" ht="34.5" thickBot="1">
      <c r="A6" s="652" t="s">
        <v>2464</v>
      </c>
      <c r="C6" s="653"/>
      <c r="D6" s="653">
        <v>1.7083333333333333</v>
      </c>
      <c r="E6" s="652">
        <v>1</v>
      </c>
      <c r="F6" s="653">
        <f>D6*E6</f>
        <v>1.7083333333333333</v>
      </c>
      <c r="H6" s="654" t="s">
        <v>2465</v>
      </c>
      <c r="I6" s="655">
        <v>18.97</v>
      </c>
      <c r="J6" s="656">
        <v>56</v>
      </c>
      <c r="K6" s="657">
        <f>J6*I6</f>
        <v>1062.32</v>
      </c>
      <c r="L6" s="658">
        <f>$T$2*I6</f>
        <v>23.712499999999999</v>
      </c>
      <c r="M6" s="659">
        <v>41</v>
      </c>
      <c r="N6" s="659">
        <f>17+(8/60)+(34/3600)</f>
        <v>17.142777777777777</v>
      </c>
      <c r="O6" s="657">
        <f>M6*I6+N6*L6</f>
        <v>1184.2681180555555</v>
      </c>
      <c r="P6" s="660">
        <f>O6/K6</f>
        <v>1.1147941468253968</v>
      </c>
      <c r="Q6" s="660">
        <f>P6-1</f>
        <v>0.11479414682539679</v>
      </c>
      <c r="S6" s="28"/>
      <c r="T6" s="28"/>
    </row>
    <row r="7" spans="1:20" s="68" customFormat="1" ht="15.75" thickBot="1">
      <c r="A7" s="652" t="s">
        <v>2466</v>
      </c>
      <c r="C7" s="653"/>
      <c r="D7" s="653">
        <v>0.625</v>
      </c>
      <c r="E7" s="661">
        <f>60/52.5</f>
        <v>1.1428571428571428</v>
      </c>
      <c r="F7" s="653">
        <f>E7*D7</f>
        <v>0.71428571428571419</v>
      </c>
      <c r="H7" s="662" t="s">
        <v>2467</v>
      </c>
      <c r="I7" s="663">
        <v>12.39</v>
      </c>
      <c r="J7" s="664">
        <v>56</v>
      </c>
      <c r="K7" s="665">
        <f>J7*I7</f>
        <v>693.84</v>
      </c>
      <c r="L7" s="666">
        <f>$T$2*I7</f>
        <v>15.487500000000001</v>
      </c>
      <c r="M7" s="667">
        <v>41</v>
      </c>
      <c r="N7" s="667">
        <f>17+(8/60)+(34/3600)</f>
        <v>17.142777777777777</v>
      </c>
      <c r="O7" s="665">
        <f>M7*I7+N7*L7</f>
        <v>773.48877083333332</v>
      </c>
      <c r="P7" s="668">
        <f>O7/K7</f>
        <v>1.1147941468253968</v>
      </c>
      <c r="Q7" s="668">
        <f>P7-1</f>
        <v>0.11479414682539679</v>
      </c>
      <c r="S7" s="28"/>
      <c r="T7" s="28"/>
    </row>
    <row r="8" spans="1:20" s="68" customFormat="1" ht="15.75" thickBot="1">
      <c r="D8" s="669">
        <f>SUM(D6:D7)</f>
        <v>2.333333333333333</v>
      </c>
      <c r="F8" s="669">
        <f>SUM(F6:F7)</f>
        <v>2.4226190476190474</v>
      </c>
      <c r="H8" s="647"/>
      <c r="I8" s="28"/>
      <c r="J8" s="28"/>
      <c r="K8" s="28"/>
      <c r="L8" s="28"/>
      <c r="M8" s="28"/>
      <c r="N8" s="28"/>
      <c r="O8" s="28"/>
      <c r="P8" s="28"/>
      <c r="Q8" s="28"/>
      <c r="S8" s="28"/>
      <c r="T8" s="28"/>
    </row>
    <row r="9" spans="1:20" s="68" customFormat="1" ht="34.5" thickBot="1">
      <c r="H9" s="647"/>
      <c r="I9" s="672" t="s">
        <v>2455</v>
      </c>
      <c r="J9" s="673" t="s">
        <v>2456</v>
      </c>
      <c r="K9" s="674" t="s">
        <v>2457</v>
      </c>
      <c r="L9" s="672" t="s">
        <v>2458</v>
      </c>
      <c r="M9" s="673" t="s">
        <v>2459</v>
      </c>
      <c r="N9" s="673" t="s">
        <v>2460</v>
      </c>
      <c r="O9" s="674" t="s">
        <v>2461</v>
      </c>
      <c r="P9" s="651" t="s">
        <v>2462</v>
      </c>
      <c r="Q9" s="651" t="s">
        <v>2463</v>
      </c>
      <c r="S9" s="28"/>
      <c r="T9" s="28"/>
    </row>
    <row r="10" spans="1:20" s="68" customFormat="1" ht="34.5" thickBot="1">
      <c r="H10" s="654" t="s">
        <v>2465</v>
      </c>
      <c r="I10" s="655">
        <v>16.39</v>
      </c>
      <c r="J10" s="656">
        <v>56</v>
      </c>
      <c r="K10" s="657">
        <f>J10*I10</f>
        <v>917.84</v>
      </c>
      <c r="L10" s="658">
        <f>$T$2*I10</f>
        <v>20.487500000000001</v>
      </c>
      <c r="M10" s="659">
        <v>41</v>
      </c>
      <c r="N10" s="659">
        <f>17+(8/60)+(34/3600)</f>
        <v>17.142777777777777</v>
      </c>
      <c r="O10" s="657">
        <f>M10*I10+N10*L10</f>
        <v>1023.2026597222223</v>
      </c>
      <c r="P10" s="660">
        <f>O10/K10</f>
        <v>1.1147941468253968</v>
      </c>
      <c r="Q10" s="660">
        <f>P10-1</f>
        <v>0.11479414682539679</v>
      </c>
      <c r="S10" s="28"/>
      <c r="T10" s="28"/>
    </row>
    <row r="11" spans="1:20" s="68" customFormat="1" ht="15.75" thickBot="1">
      <c r="H11" s="662" t="s">
        <v>2467</v>
      </c>
      <c r="I11" s="663">
        <v>10.71</v>
      </c>
      <c r="J11" s="664">
        <v>56</v>
      </c>
      <c r="K11" s="665">
        <f>J11*I11</f>
        <v>599.76</v>
      </c>
      <c r="L11" s="666">
        <f>$T$2*I11</f>
        <v>13.387500000000001</v>
      </c>
      <c r="M11" s="667">
        <v>41</v>
      </c>
      <c r="N11" s="667">
        <f>17+(8/60)+(34/3600)</f>
        <v>17.142777777777777</v>
      </c>
      <c r="O11" s="665">
        <f>M11*I11+N11*L11</f>
        <v>668.60893750000002</v>
      </c>
      <c r="P11" s="668">
        <f>O11/K11</f>
        <v>1.1147941468253968</v>
      </c>
      <c r="Q11" s="668">
        <f>P11-1</f>
        <v>0.11479414682539679</v>
      </c>
      <c r="S11" s="28"/>
      <c r="T11" s="28"/>
    </row>
  </sheetData>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N102"/>
  <sheetViews>
    <sheetView topLeftCell="A13" zoomScale="85" zoomScaleNormal="85" workbookViewId="0">
      <selection activeCell="S36" sqref="S36"/>
    </sheetView>
  </sheetViews>
  <sheetFormatPr defaultRowHeight="12.75"/>
  <cols>
    <col min="1" max="2" width="9.140625" style="24"/>
    <col min="3" max="3" width="51" style="24" customWidth="1"/>
    <col min="4" max="4" width="14.28515625" style="24" customWidth="1"/>
    <col min="5" max="5" width="8.7109375" style="24" customWidth="1"/>
    <col min="6" max="6" width="6.85546875" style="24" customWidth="1"/>
    <col min="7" max="7" width="13.28515625" style="24" customWidth="1"/>
    <col min="8" max="11" width="12.85546875" style="24" customWidth="1"/>
    <col min="12" max="12" width="13.5703125" style="24" customWidth="1"/>
    <col min="13" max="13" width="9.140625" style="24"/>
    <col min="14" max="14" width="13.85546875" style="24" customWidth="1"/>
    <col min="15" max="251" width="9.140625" style="24"/>
    <col min="252" max="252" width="52.42578125" style="24" bestFit="1" customWidth="1"/>
    <col min="253" max="253" width="16.28515625" style="24" customWidth="1"/>
    <col min="254" max="254" width="11.28515625" style="24" bestFit="1" customWidth="1"/>
    <col min="255" max="255" width="7" style="24" bestFit="1" customWidth="1"/>
    <col min="256" max="256" width="11.85546875" style="24" customWidth="1"/>
    <col min="257" max="257" width="10.28515625" style="24" bestFit="1" customWidth="1"/>
    <col min="258" max="258" width="11.7109375" style="24" bestFit="1" customWidth="1"/>
    <col min="259" max="259" width="7" style="24" bestFit="1" customWidth="1"/>
    <col min="260" max="260" width="11.7109375" style="24" bestFit="1" customWidth="1"/>
    <col min="261" max="261" width="7" style="24" bestFit="1" customWidth="1"/>
    <col min="262" max="262" width="11.7109375" style="24" bestFit="1" customWidth="1"/>
    <col min="263" max="263" width="8" style="24" bestFit="1" customWidth="1"/>
    <col min="264" max="264" width="11.7109375" style="24" bestFit="1" customWidth="1"/>
    <col min="265" max="265" width="8.28515625" style="24" customWidth="1"/>
    <col min="266" max="266" width="13" style="24" customWidth="1"/>
    <col min="267" max="267" width="8" style="24" customWidth="1"/>
    <col min="268" max="507" width="9.140625" style="24"/>
    <col min="508" max="508" width="52.42578125" style="24" bestFit="1" customWidth="1"/>
    <col min="509" max="509" width="16.28515625" style="24" customWidth="1"/>
    <col min="510" max="510" width="11.28515625" style="24" bestFit="1" customWidth="1"/>
    <col min="511" max="511" width="7" style="24" bestFit="1" customWidth="1"/>
    <col min="512" max="512" width="11.85546875" style="24" customWidth="1"/>
    <col min="513" max="513" width="10.28515625" style="24" bestFit="1" customWidth="1"/>
    <col min="514" max="514" width="11.7109375" style="24" bestFit="1" customWidth="1"/>
    <col min="515" max="515" width="7" style="24" bestFit="1" customWidth="1"/>
    <col min="516" max="516" width="11.7109375" style="24" bestFit="1" customWidth="1"/>
    <col min="517" max="517" width="7" style="24" bestFit="1" customWidth="1"/>
    <col min="518" max="518" width="11.7109375" style="24" bestFit="1" customWidth="1"/>
    <col min="519" max="519" width="8" style="24" bestFit="1" customWidth="1"/>
    <col min="520" max="520" width="11.7109375" style="24" bestFit="1" customWidth="1"/>
    <col min="521" max="521" width="8.28515625" style="24" customWidth="1"/>
    <col min="522" max="522" width="13" style="24" customWidth="1"/>
    <col min="523" max="523" width="8" style="24" customWidth="1"/>
    <col min="524" max="763" width="9.140625" style="24"/>
    <col min="764" max="764" width="52.42578125" style="24" bestFit="1" customWidth="1"/>
    <col min="765" max="765" width="16.28515625" style="24" customWidth="1"/>
    <col min="766" max="766" width="11.28515625" style="24" bestFit="1" customWidth="1"/>
    <col min="767" max="767" width="7" style="24" bestFit="1" customWidth="1"/>
    <col min="768" max="768" width="11.85546875" style="24" customWidth="1"/>
    <col min="769" max="769" width="10.28515625" style="24" bestFit="1" customWidth="1"/>
    <col min="770" max="770" width="11.7109375" style="24" bestFit="1" customWidth="1"/>
    <col min="771" max="771" width="7" style="24" bestFit="1" customWidth="1"/>
    <col min="772" max="772" width="11.7109375" style="24" bestFit="1" customWidth="1"/>
    <col min="773" max="773" width="7" style="24" bestFit="1" customWidth="1"/>
    <col min="774" max="774" width="11.7109375" style="24" bestFit="1" customWidth="1"/>
    <col min="775" max="775" width="8" style="24" bestFit="1" customWidth="1"/>
    <col min="776" max="776" width="11.7109375" style="24" bestFit="1" customWidth="1"/>
    <col min="777" max="777" width="8.28515625" style="24" customWidth="1"/>
    <col min="778" max="778" width="13" style="24" customWidth="1"/>
    <col min="779" max="779" width="8" style="24" customWidth="1"/>
    <col min="780" max="1019" width="9.140625" style="24"/>
    <col min="1020" max="1020" width="52.42578125" style="24" bestFit="1" customWidth="1"/>
    <col min="1021" max="1021" width="16.28515625" style="24" customWidth="1"/>
    <col min="1022" max="1022" width="11.28515625" style="24" bestFit="1" customWidth="1"/>
    <col min="1023" max="1023" width="7" style="24" bestFit="1" customWidth="1"/>
    <col min="1024" max="1024" width="11.85546875" style="24" customWidth="1"/>
    <col min="1025" max="1025" width="10.28515625" style="24" bestFit="1" customWidth="1"/>
    <col min="1026" max="1026" width="11.7109375" style="24" bestFit="1" customWidth="1"/>
    <col min="1027" max="1027" width="7" style="24" bestFit="1" customWidth="1"/>
    <col min="1028" max="1028" width="11.7109375" style="24" bestFit="1" customWidth="1"/>
    <col min="1029" max="1029" width="7" style="24" bestFit="1" customWidth="1"/>
    <col min="1030" max="1030" width="11.7109375" style="24" bestFit="1" customWidth="1"/>
    <col min="1031" max="1031" width="8" style="24" bestFit="1" customWidth="1"/>
    <col min="1032" max="1032" width="11.7109375" style="24" bestFit="1" customWidth="1"/>
    <col min="1033" max="1033" width="8.28515625" style="24" customWidth="1"/>
    <col min="1034" max="1034" width="13" style="24" customWidth="1"/>
    <col min="1035" max="1035" width="8" style="24" customWidth="1"/>
    <col min="1036" max="1275" width="9.140625" style="24"/>
    <col min="1276" max="1276" width="52.42578125" style="24" bestFit="1" customWidth="1"/>
    <col min="1277" max="1277" width="16.28515625" style="24" customWidth="1"/>
    <col min="1278" max="1278" width="11.28515625" style="24" bestFit="1" customWidth="1"/>
    <col min="1279" max="1279" width="7" style="24" bestFit="1" customWidth="1"/>
    <col min="1280" max="1280" width="11.85546875" style="24" customWidth="1"/>
    <col min="1281" max="1281" width="10.28515625" style="24" bestFit="1" customWidth="1"/>
    <col min="1282" max="1282" width="11.7109375" style="24" bestFit="1" customWidth="1"/>
    <col min="1283" max="1283" width="7" style="24" bestFit="1" customWidth="1"/>
    <col min="1284" max="1284" width="11.7109375" style="24" bestFit="1" customWidth="1"/>
    <col min="1285" max="1285" width="7" style="24" bestFit="1" customWidth="1"/>
    <col min="1286" max="1286" width="11.7109375" style="24" bestFit="1" customWidth="1"/>
    <col min="1287" max="1287" width="8" style="24" bestFit="1" customWidth="1"/>
    <col min="1288" max="1288" width="11.7109375" style="24" bestFit="1" customWidth="1"/>
    <col min="1289" max="1289" width="8.28515625" style="24" customWidth="1"/>
    <col min="1290" max="1290" width="13" style="24" customWidth="1"/>
    <col min="1291" max="1291" width="8" style="24" customWidth="1"/>
    <col min="1292" max="1531" width="9.140625" style="24"/>
    <col min="1532" max="1532" width="52.42578125" style="24" bestFit="1" customWidth="1"/>
    <col min="1533" max="1533" width="16.28515625" style="24" customWidth="1"/>
    <col min="1534" max="1534" width="11.28515625" style="24" bestFit="1" customWidth="1"/>
    <col min="1535" max="1535" width="7" style="24" bestFit="1" customWidth="1"/>
    <col min="1536" max="1536" width="11.85546875" style="24" customWidth="1"/>
    <col min="1537" max="1537" width="10.28515625" style="24" bestFit="1" customWidth="1"/>
    <col min="1538" max="1538" width="11.7109375" style="24" bestFit="1" customWidth="1"/>
    <col min="1539" max="1539" width="7" style="24" bestFit="1" customWidth="1"/>
    <col min="1540" max="1540" width="11.7109375" style="24" bestFit="1" customWidth="1"/>
    <col min="1541" max="1541" width="7" style="24" bestFit="1" customWidth="1"/>
    <col min="1542" max="1542" width="11.7109375" style="24" bestFit="1" customWidth="1"/>
    <col min="1543" max="1543" width="8" style="24" bestFit="1" customWidth="1"/>
    <col min="1544" max="1544" width="11.7109375" style="24" bestFit="1" customWidth="1"/>
    <col min="1545" max="1545" width="8.28515625" style="24" customWidth="1"/>
    <col min="1546" max="1546" width="13" style="24" customWidth="1"/>
    <col min="1547" max="1547" width="8" style="24" customWidth="1"/>
    <col min="1548" max="1787" width="9.140625" style="24"/>
    <col min="1788" max="1788" width="52.42578125" style="24" bestFit="1" customWidth="1"/>
    <col min="1789" max="1789" width="16.28515625" style="24" customWidth="1"/>
    <col min="1790" max="1790" width="11.28515625" style="24" bestFit="1" customWidth="1"/>
    <col min="1791" max="1791" width="7" style="24" bestFit="1" customWidth="1"/>
    <col min="1792" max="1792" width="11.85546875" style="24" customWidth="1"/>
    <col min="1793" max="1793" width="10.28515625" style="24" bestFit="1" customWidth="1"/>
    <col min="1794" max="1794" width="11.7109375" style="24" bestFit="1" customWidth="1"/>
    <col min="1795" max="1795" width="7" style="24" bestFit="1" customWidth="1"/>
    <col min="1796" max="1796" width="11.7109375" style="24" bestFit="1" customWidth="1"/>
    <col min="1797" max="1797" width="7" style="24" bestFit="1" customWidth="1"/>
    <col min="1798" max="1798" width="11.7109375" style="24" bestFit="1" customWidth="1"/>
    <col min="1799" max="1799" width="8" style="24" bestFit="1" customWidth="1"/>
    <col min="1800" max="1800" width="11.7109375" style="24" bestFit="1" customWidth="1"/>
    <col min="1801" max="1801" width="8.28515625" style="24" customWidth="1"/>
    <col min="1802" max="1802" width="13" style="24" customWidth="1"/>
    <col min="1803" max="1803" width="8" style="24" customWidth="1"/>
    <col min="1804" max="2043" width="9.140625" style="24"/>
    <col min="2044" max="2044" width="52.42578125" style="24" bestFit="1" customWidth="1"/>
    <col min="2045" max="2045" width="16.28515625" style="24" customWidth="1"/>
    <col min="2046" max="2046" width="11.28515625" style="24" bestFit="1" customWidth="1"/>
    <col min="2047" max="2047" width="7" style="24" bestFit="1" customWidth="1"/>
    <col min="2048" max="2048" width="11.85546875" style="24" customWidth="1"/>
    <col min="2049" max="2049" width="10.28515625" style="24" bestFit="1" customWidth="1"/>
    <col min="2050" max="2050" width="11.7109375" style="24" bestFit="1" customWidth="1"/>
    <col min="2051" max="2051" width="7" style="24" bestFit="1" customWidth="1"/>
    <col min="2052" max="2052" width="11.7109375" style="24" bestFit="1" customWidth="1"/>
    <col min="2053" max="2053" width="7" style="24" bestFit="1" customWidth="1"/>
    <col min="2054" max="2054" width="11.7109375" style="24" bestFit="1" customWidth="1"/>
    <col min="2055" max="2055" width="8" style="24" bestFit="1" customWidth="1"/>
    <col min="2056" max="2056" width="11.7109375" style="24" bestFit="1" customWidth="1"/>
    <col min="2057" max="2057" width="8.28515625" style="24" customWidth="1"/>
    <col min="2058" max="2058" width="13" style="24" customWidth="1"/>
    <col min="2059" max="2059" width="8" style="24" customWidth="1"/>
    <col min="2060" max="2299" width="9.140625" style="24"/>
    <col min="2300" max="2300" width="52.42578125" style="24" bestFit="1" customWidth="1"/>
    <col min="2301" max="2301" width="16.28515625" style="24" customWidth="1"/>
    <col min="2302" max="2302" width="11.28515625" style="24" bestFit="1" customWidth="1"/>
    <col min="2303" max="2303" width="7" style="24" bestFit="1" customWidth="1"/>
    <col min="2304" max="2304" width="11.85546875" style="24" customWidth="1"/>
    <col min="2305" max="2305" width="10.28515625" style="24" bestFit="1" customWidth="1"/>
    <col min="2306" max="2306" width="11.7109375" style="24" bestFit="1" customWidth="1"/>
    <col min="2307" max="2307" width="7" style="24" bestFit="1" customWidth="1"/>
    <col min="2308" max="2308" width="11.7109375" style="24" bestFit="1" customWidth="1"/>
    <col min="2309" max="2309" width="7" style="24" bestFit="1" customWidth="1"/>
    <col min="2310" max="2310" width="11.7109375" style="24" bestFit="1" customWidth="1"/>
    <col min="2311" max="2311" width="8" style="24" bestFit="1" customWidth="1"/>
    <col min="2312" max="2312" width="11.7109375" style="24" bestFit="1" customWidth="1"/>
    <col min="2313" max="2313" width="8.28515625" style="24" customWidth="1"/>
    <col min="2314" max="2314" width="13" style="24" customWidth="1"/>
    <col min="2315" max="2315" width="8" style="24" customWidth="1"/>
    <col min="2316" max="2555" width="9.140625" style="24"/>
    <col min="2556" max="2556" width="52.42578125" style="24" bestFit="1" customWidth="1"/>
    <col min="2557" max="2557" width="16.28515625" style="24" customWidth="1"/>
    <col min="2558" max="2558" width="11.28515625" style="24" bestFit="1" customWidth="1"/>
    <col min="2559" max="2559" width="7" style="24" bestFit="1" customWidth="1"/>
    <col min="2560" max="2560" width="11.85546875" style="24" customWidth="1"/>
    <col min="2561" max="2561" width="10.28515625" style="24" bestFit="1" customWidth="1"/>
    <col min="2562" max="2562" width="11.7109375" style="24" bestFit="1" customWidth="1"/>
    <col min="2563" max="2563" width="7" style="24" bestFit="1" customWidth="1"/>
    <col min="2564" max="2564" width="11.7109375" style="24" bestFit="1" customWidth="1"/>
    <col min="2565" max="2565" width="7" style="24" bestFit="1" customWidth="1"/>
    <col min="2566" max="2566" width="11.7109375" style="24" bestFit="1" customWidth="1"/>
    <col min="2567" max="2567" width="8" style="24" bestFit="1" customWidth="1"/>
    <col min="2568" max="2568" width="11.7109375" style="24" bestFit="1" customWidth="1"/>
    <col min="2569" max="2569" width="8.28515625" style="24" customWidth="1"/>
    <col min="2570" max="2570" width="13" style="24" customWidth="1"/>
    <col min="2571" max="2571" width="8" style="24" customWidth="1"/>
    <col min="2572" max="2811" width="9.140625" style="24"/>
    <col min="2812" max="2812" width="52.42578125" style="24" bestFit="1" customWidth="1"/>
    <col min="2813" max="2813" width="16.28515625" style="24" customWidth="1"/>
    <col min="2814" max="2814" width="11.28515625" style="24" bestFit="1" customWidth="1"/>
    <col min="2815" max="2815" width="7" style="24" bestFit="1" customWidth="1"/>
    <col min="2816" max="2816" width="11.85546875" style="24" customWidth="1"/>
    <col min="2817" max="2817" width="10.28515625" style="24" bestFit="1" customWidth="1"/>
    <col min="2818" max="2818" width="11.7109375" style="24" bestFit="1" customWidth="1"/>
    <col min="2819" max="2819" width="7" style="24" bestFit="1" customWidth="1"/>
    <col min="2820" max="2820" width="11.7109375" style="24" bestFit="1" customWidth="1"/>
    <col min="2821" max="2821" width="7" style="24" bestFit="1" customWidth="1"/>
    <col min="2822" max="2822" width="11.7109375" style="24" bestFit="1" customWidth="1"/>
    <col min="2823" max="2823" width="8" style="24" bestFit="1" customWidth="1"/>
    <col min="2824" max="2824" width="11.7109375" style="24" bestFit="1" customWidth="1"/>
    <col min="2825" max="2825" width="8.28515625" style="24" customWidth="1"/>
    <col min="2826" max="2826" width="13" style="24" customWidth="1"/>
    <col min="2827" max="2827" width="8" style="24" customWidth="1"/>
    <col min="2828" max="3067" width="9.140625" style="24"/>
    <col min="3068" max="3068" width="52.42578125" style="24" bestFit="1" customWidth="1"/>
    <col min="3069" max="3069" width="16.28515625" style="24" customWidth="1"/>
    <col min="3070" max="3070" width="11.28515625" style="24" bestFit="1" customWidth="1"/>
    <col min="3071" max="3071" width="7" style="24" bestFit="1" customWidth="1"/>
    <col min="3072" max="3072" width="11.85546875" style="24" customWidth="1"/>
    <col min="3073" max="3073" width="10.28515625" style="24" bestFit="1" customWidth="1"/>
    <col min="3074" max="3074" width="11.7109375" style="24" bestFit="1" customWidth="1"/>
    <col min="3075" max="3075" width="7" style="24" bestFit="1" customWidth="1"/>
    <col min="3076" max="3076" width="11.7109375" style="24" bestFit="1" customWidth="1"/>
    <col min="3077" max="3077" width="7" style="24" bestFit="1" customWidth="1"/>
    <col min="3078" max="3078" width="11.7109375" style="24" bestFit="1" customWidth="1"/>
    <col min="3079" max="3079" width="8" style="24" bestFit="1" customWidth="1"/>
    <col min="3080" max="3080" width="11.7109375" style="24" bestFit="1" customWidth="1"/>
    <col min="3081" max="3081" width="8.28515625" style="24" customWidth="1"/>
    <col min="3082" max="3082" width="13" style="24" customWidth="1"/>
    <col min="3083" max="3083" width="8" style="24" customWidth="1"/>
    <col min="3084" max="3323" width="9.140625" style="24"/>
    <col min="3324" max="3324" width="52.42578125" style="24" bestFit="1" customWidth="1"/>
    <col min="3325" max="3325" width="16.28515625" style="24" customWidth="1"/>
    <col min="3326" max="3326" width="11.28515625" style="24" bestFit="1" customWidth="1"/>
    <col min="3327" max="3327" width="7" style="24" bestFit="1" customWidth="1"/>
    <col min="3328" max="3328" width="11.85546875" style="24" customWidth="1"/>
    <col min="3329" max="3329" width="10.28515625" style="24" bestFit="1" customWidth="1"/>
    <col min="3330" max="3330" width="11.7109375" style="24" bestFit="1" customWidth="1"/>
    <col min="3331" max="3331" width="7" style="24" bestFit="1" customWidth="1"/>
    <col min="3332" max="3332" width="11.7109375" style="24" bestFit="1" customWidth="1"/>
    <col min="3333" max="3333" width="7" style="24" bestFit="1" customWidth="1"/>
    <col min="3334" max="3334" width="11.7109375" style="24" bestFit="1" customWidth="1"/>
    <col min="3335" max="3335" width="8" style="24" bestFit="1" customWidth="1"/>
    <col min="3336" max="3336" width="11.7109375" style="24" bestFit="1" customWidth="1"/>
    <col min="3337" max="3337" width="8.28515625" style="24" customWidth="1"/>
    <col min="3338" max="3338" width="13" style="24" customWidth="1"/>
    <col min="3339" max="3339" width="8" style="24" customWidth="1"/>
    <col min="3340" max="3579" width="9.140625" style="24"/>
    <col min="3580" max="3580" width="52.42578125" style="24" bestFit="1" customWidth="1"/>
    <col min="3581" max="3581" width="16.28515625" style="24" customWidth="1"/>
    <col min="3582" max="3582" width="11.28515625" style="24" bestFit="1" customWidth="1"/>
    <col min="3583" max="3583" width="7" style="24" bestFit="1" customWidth="1"/>
    <col min="3584" max="3584" width="11.85546875" style="24" customWidth="1"/>
    <col min="3585" max="3585" width="10.28515625" style="24" bestFit="1" customWidth="1"/>
    <col min="3586" max="3586" width="11.7109375" style="24" bestFit="1" customWidth="1"/>
    <col min="3587" max="3587" width="7" style="24" bestFit="1" customWidth="1"/>
    <col min="3588" max="3588" width="11.7109375" style="24" bestFit="1" customWidth="1"/>
    <col min="3589" max="3589" width="7" style="24" bestFit="1" customWidth="1"/>
    <col min="3590" max="3590" width="11.7109375" style="24" bestFit="1" customWidth="1"/>
    <col min="3591" max="3591" width="8" style="24" bestFit="1" customWidth="1"/>
    <col min="3592" max="3592" width="11.7109375" style="24" bestFit="1" customWidth="1"/>
    <col min="3593" max="3593" width="8.28515625" style="24" customWidth="1"/>
    <col min="3594" max="3594" width="13" style="24" customWidth="1"/>
    <col min="3595" max="3595" width="8" style="24" customWidth="1"/>
    <col min="3596" max="3835" width="9.140625" style="24"/>
    <col min="3836" max="3836" width="52.42578125" style="24" bestFit="1" customWidth="1"/>
    <col min="3837" max="3837" width="16.28515625" style="24" customWidth="1"/>
    <col min="3838" max="3838" width="11.28515625" style="24" bestFit="1" customWidth="1"/>
    <col min="3839" max="3839" width="7" style="24" bestFit="1" customWidth="1"/>
    <col min="3840" max="3840" width="11.85546875" style="24" customWidth="1"/>
    <col min="3841" max="3841" width="10.28515625" style="24" bestFit="1" customWidth="1"/>
    <col min="3842" max="3842" width="11.7109375" style="24" bestFit="1" customWidth="1"/>
    <col min="3843" max="3843" width="7" style="24" bestFit="1" customWidth="1"/>
    <col min="3844" max="3844" width="11.7109375" style="24" bestFit="1" customWidth="1"/>
    <col min="3845" max="3845" width="7" style="24" bestFit="1" customWidth="1"/>
    <col min="3846" max="3846" width="11.7109375" style="24" bestFit="1" customWidth="1"/>
    <col min="3847" max="3847" width="8" style="24" bestFit="1" customWidth="1"/>
    <col min="3848" max="3848" width="11.7109375" style="24" bestFit="1" customWidth="1"/>
    <col min="3849" max="3849" width="8.28515625" style="24" customWidth="1"/>
    <col min="3850" max="3850" width="13" style="24" customWidth="1"/>
    <col min="3851" max="3851" width="8" style="24" customWidth="1"/>
    <col min="3852" max="4091" width="9.140625" style="24"/>
    <col min="4092" max="4092" width="52.42578125" style="24" bestFit="1" customWidth="1"/>
    <col min="4093" max="4093" width="16.28515625" style="24" customWidth="1"/>
    <col min="4094" max="4094" width="11.28515625" style="24" bestFit="1" customWidth="1"/>
    <col min="4095" max="4095" width="7" style="24" bestFit="1" customWidth="1"/>
    <col min="4096" max="4096" width="11.85546875" style="24" customWidth="1"/>
    <col min="4097" max="4097" width="10.28515625" style="24" bestFit="1" customWidth="1"/>
    <col min="4098" max="4098" width="11.7109375" style="24" bestFit="1" customWidth="1"/>
    <col min="4099" max="4099" width="7" style="24" bestFit="1" customWidth="1"/>
    <col min="4100" max="4100" width="11.7109375" style="24" bestFit="1" customWidth="1"/>
    <col min="4101" max="4101" width="7" style="24" bestFit="1" customWidth="1"/>
    <col min="4102" max="4102" width="11.7109375" style="24" bestFit="1" customWidth="1"/>
    <col min="4103" max="4103" width="8" style="24" bestFit="1" customWidth="1"/>
    <col min="4104" max="4104" width="11.7109375" style="24" bestFit="1" customWidth="1"/>
    <col min="4105" max="4105" width="8.28515625" style="24" customWidth="1"/>
    <col min="4106" max="4106" width="13" style="24" customWidth="1"/>
    <col min="4107" max="4107" width="8" style="24" customWidth="1"/>
    <col min="4108" max="4347" width="9.140625" style="24"/>
    <col min="4348" max="4348" width="52.42578125" style="24" bestFit="1" customWidth="1"/>
    <col min="4349" max="4349" width="16.28515625" style="24" customWidth="1"/>
    <col min="4350" max="4350" width="11.28515625" style="24" bestFit="1" customWidth="1"/>
    <col min="4351" max="4351" width="7" style="24" bestFit="1" customWidth="1"/>
    <col min="4352" max="4352" width="11.85546875" style="24" customWidth="1"/>
    <col min="4353" max="4353" width="10.28515625" style="24" bestFit="1" customWidth="1"/>
    <col min="4354" max="4354" width="11.7109375" style="24" bestFit="1" customWidth="1"/>
    <col min="4355" max="4355" width="7" style="24" bestFit="1" customWidth="1"/>
    <col min="4356" max="4356" width="11.7109375" style="24" bestFit="1" customWidth="1"/>
    <col min="4357" max="4357" width="7" style="24" bestFit="1" customWidth="1"/>
    <col min="4358" max="4358" width="11.7109375" style="24" bestFit="1" customWidth="1"/>
    <col min="4359" max="4359" width="8" style="24" bestFit="1" customWidth="1"/>
    <col min="4360" max="4360" width="11.7109375" style="24" bestFit="1" customWidth="1"/>
    <col min="4361" max="4361" width="8.28515625" style="24" customWidth="1"/>
    <col min="4362" max="4362" width="13" style="24" customWidth="1"/>
    <col min="4363" max="4363" width="8" style="24" customWidth="1"/>
    <col min="4364" max="4603" width="9.140625" style="24"/>
    <col min="4604" max="4604" width="52.42578125" style="24" bestFit="1" customWidth="1"/>
    <col min="4605" max="4605" width="16.28515625" style="24" customWidth="1"/>
    <col min="4606" max="4606" width="11.28515625" style="24" bestFit="1" customWidth="1"/>
    <col min="4607" max="4607" width="7" style="24" bestFit="1" customWidth="1"/>
    <col min="4608" max="4608" width="11.85546875" style="24" customWidth="1"/>
    <col min="4609" max="4609" width="10.28515625" style="24" bestFit="1" customWidth="1"/>
    <col min="4610" max="4610" width="11.7109375" style="24" bestFit="1" customWidth="1"/>
    <col min="4611" max="4611" width="7" style="24" bestFit="1" customWidth="1"/>
    <col min="4612" max="4612" width="11.7109375" style="24" bestFit="1" customWidth="1"/>
    <col min="4613" max="4613" width="7" style="24" bestFit="1" customWidth="1"/>
    <col min="4614" max="4614" width="11.7109375" style="24" bestFit="1" customWidth="1"/>
    <col min="4615" max="4615" width="8" style="24" bestFit="1" customWidth="1"/>
    <col min="4616" max="4616" width="11.7109375" style="24" bestFit="1" customWidth="1"/>
    <col min="4617" max="4617" width="8.28515625" style="24" customWidth="1"/>
    <col min="4618" max="4618" width="13" style="24" customWidth="1"/>
    <col min="4619" max="4619" width="8" style="24" customWidth="1"/>
    <col min="4620" max="4859" width="9.140625" style="24"/>
    <col min="4860" max="4860" width="52.42578125" style="24" bestFit="1" customWidth="1"/>
    <col min="4861" max="4861" width="16.28515625" style="24" customWidth="1"/>
    <col min="4862" max="4862" width="11.28515625" style="24" bestFit="1" customWidth="1"/>
    <col min="4863" max="4863" width="7" style="24" bestFit="1" customWidth="1"/>
    <col min="4864" max="4864" width="11.85546875" style="24" customWidth="1"/>
    <col min="4865" max="4865" width="10.28515625" style="24" bestFit="1" customWidth="1"/>
    <col min="4866" max="4866" width="11.7109375" style="24" bestFit="1" customWidth="1"/>
    <col min="4867" max="4867" width="7" style="24" bestFit="1" customWidth="1"/>
    <col min="4868" max="4868" width="11.7109375" style="24" bestFit="1" customWidth="1"/>
    <col min="4869" max="4869" width="7" style="24" bestFit="1" customWidth="1"/>
    <col min="4870" max="4870" width="11.7109375" style="24" bestFit="1" customWidth="1"/>
    <col min="4871" max="4871" width="8" style="24" bestFit="1" customWidth="1"/>
    <col min="4872" max="4872" width="11.7109375" style="24" bestFit="1" customWidth="1"/>
    <col min="4873" max="4873" width="8.28515625" style="24" customWidth="1"/>
    <col min="4874" max="4874" width="13" style="24" customWidth="1"/>
    <col min="4875" max="4875" width="8" style="24" customWidth="1"/>
    <col min="4876" max="5115" width="9.140625" style="24"/>
    <col min="5116" max="5116" width="52.42578125" style="24" bestFit="1" customWidth="1"/>
    <col min="5117" max="5117" width="16.28515625" style="24" customWidth="1"/>
    <col min="5118" max="5118" width="11.28515625" style="24" bestFit="1" customWidth="1"/>
    <col min="5119" max="5119" width="7" style="24" bestFit="1" customWidth="1"/>
    <col min="5120" max="5120" width="11.85546875" style="24" customWidth="1"/>
    <col min="5121" max="5121" width="10.28515625" style="24" bestFit="1" customWidth="1"/>
    <col min="5122" max="5122" width="11.7109375" style="24" bestFit="1" customWidth="1"/>
    <col min="5123" max="5123" width="7" style="24" bestFit="1" customWidth="1"/>
    <col min="5124" max="5124" width="11.7109375" style="24" bestFit="1" customWidth="1"/>
    <col min="5125" max="5125" width="7" style="24" bestFit="1" customWidth="1"/>
    <col min="5126" max="5126" width="11.7109375" style="24" bestFit="1" customWidth="1"/>
    <col min="5127" max="5127" width="8" style="24" bestFit="1" customWidth="1"/>
    <col min="5128" max="5128" width="11.7109375" style="24" bestFit="1" customWidth="1"/>
    <col min="5129" max="5129" width="8.28515625" style="24" customWidth="1"/>
    <col min="5130" max="5130" width="13" style="24" customWidth="1"/>
    <col min="5131" max="5131" width="8" style="24" customWidth="1"/>
    <col min="5132" max="5371" width="9.140625" style="24"/>
    <col min="5372" max="5372" width="52.42578125" style="24" bestFit="1" customWidth="1"/>
    <col min="5373" max="5373" width="16.28515625" style="24" customWidth="1"/>
    <col min="5374" max="5374" width="11.28515625" style="24" bestFit="1" customWidth="1"/>
    <col min="5375" max="5375" width="7" style="24" bestFit="1" customWidth="1"/>
    <col min="5376" max="5376" width="11.85546875" style="24" customWidth="1"/>
    <col min="5377" max="5377" width="10.28515625" style="24" bestFit="1" customWidth="1"/>
    <col min="5378" max="5378" width="11.7109375" style="24" bestFit="1" customWidth="1"/>
    <col min="5379" max="5379" width="7" style="24" bestFit="1" customWidth="1"/>
    <col min="5380" max="5380" width="11.7109375" style="24" bestFit="1" customWidth="1"/>
    <col min="5381" max="5381" width="7" style="24" bestFit="1" customWidth="1"/>
    <col min="5382" max="5382" width="11.7109375" style="24" bestFit="1" customWidth="1"/>
    <col min="5383" max="5383" width="8" style="24" bestFit="1" customWidth="1"/>
    <col min="5384" max="5384" width="11.7109375" style="24" bestFit="1" customWidth="1"/>
    <col min="5385" max="5385" width="8.28515625" style="24" customWidth="1"/>
    <col min="5386" max="5386" width="13" style="24" customWidth="1"/>
    <col min="5387" max="5387" width="8" style="24" customWidth="1"/>
    <col min="5388" max="5627" width="9.140625" style="24"/>
    <col min="5628" max="5628" width="52.42578125" style="24" bestFit="1" customWidth="1"/>
    <col min="5629" max="5629" width="16.28515625" style="24" customWidth="1"/>
    <col min="5630" max="5630" width="11.28515625" style="24" bestFit="1" customWidth="1"/>
    <col min="5631" max="5631" width="7" style="24" bestFit="1" customWidth="1"/>
    <col min="5632" max="5632" width="11.85546875" style="24" customWidth="1"/>
    <col min="5633" max="5633" width="10.28515625" style="24" bestFit="1" customWidth="1"/>
    <col min="5634" max="5634" width="11.7109375" style="24" bestFit="1" customWidth="1"/>
    <col min="5635" max="5635" width="7" style="24" bestFit="1" customWidth="1"/>
    <col min="5636" max="5636" width="11.7109375" style="24" bestFit="1" customWidth="1"/>
    <col min="5637" max="5637" width="7" style="24" bestFit="1" customWidth="1"/>
    <col min="5638" max="5638" width="11.7109375" style="24" bestFit="1" customWidth="1"/>
    <col min="5639" max="5639" width="8" style="24" bestFit="1" customWidth="1"/>
    <col min="5640" max="5640" width="11.7109375" style="24" bestFit="1" customWidth="1"/>
    <col min="5641" max="5641" width="8.28515625" style="24" customWidth="1"/>
    <col min="5642" max="5642" width="13" style="24" customWidth="1"/>
    <col min="5643" max="5643" width="8" style="24" customWidth="1"/>
    <col min="5644" max="5883" width="9.140625" style="24"/>
    <col min="5884" max="5884" width="52.42578125" style="24" bestFit="1" customWidth="1"/>
    <col min="5885" max="5885" width="16.28515625" style="24" customWidth="1"/>
    <col min="5886" max="5886" width="11.28515625" style="24" bestFit="1" customWidth="1"/>
    <col min="5887" max="5887" width="7" style="24" bestFit="1" customWidth="1"/>
    <col min="5888" max="5888" width="11.85546875" style="24" customWidth="1"/>
    <col min="5889" max="5889" width="10.28515625" style="24" bestFit="1" customWidth="1"/>
    <col min="5890" max="5890" width="11.7109375" style="24" bestFit="1" customWidth="1"/>
    <col min="5891" max="5891" width="7" style="24" bestFit="1" customWidth="1"/>
    <col min="5892" max="5892" width="11.7109375" style="24" bestFit="1" customWidth="1"/>
    <col min="5893" max="5893" width="7" style="24" bestFit="1" customWidth="1"/>
    <col min="5894" max="5894" width="11.7109375" style="24" bestFit="1" customWidth="1"/>
    <col min="5895" max="5895" width="8" style="24" bestFit="1" customWidth="1"/>
    <col min="5896" max="5896" width="11.7109375" style="24" bestFit="1" customWidth="1"/>
    <col min="5897" max="5897" width="8.28515625" style="24" customWidth="1"/>
    <col min="5898" max="5898" width="13" style="24" customWidth="1"/>
    <col min="5899" max="5899" width="8" style="24" customWidth="1"/>
    <col min="5900" max="6139" width="9.140625" style="24"/>
    <col min="6140" max="6140" width="52.42578125" style="24" bestFit="1" customWidth="1"/>
    <col min="6141" max="6141" width="16.28515625" style="24" customWidth="1"/>
    <col min="6142" max="6142" width="11.28515625" style="24" bestFit="1" customWidth="1"/>
    <col min="6143" max="6143" width="7" style="24" bestFit="1" customWidth="1"/>
    <col min="6144" max="6144" width="11.85546875" style="24" customWidth="1"/>
    <col min="6145" max="6145" width="10.28515625" style="24" bestFit="1" customWidth="1"/>
    <col min="6146" max="6146" width="11.7109375" style="24" bestFit="1" customWidth="1"/>
    <col min="6147" max="6147" width="7" style="24" bestFit="1" customWidth="1"/>
    <col min="6148" max="6148" width="11.7109375" style="24" bestFit="1" customWidth="1"/>
    <col min="6149" max="6149" width="7" style="24" bestFit="1" customWidth="1"/>
    <col min="6150" max="6150" width="11.7109375" style="24" bestFit="1" customWidth="1"/>
    <col min="6151" max="6151" width="8" style="24" bestFit="1" customWidth="1"/>
    <col min="6152" max="6152" width="11.7109375" style="24" bestFit="1" customWidth="1"/>
    <col min="6153" max="6153" width="8.28515625" style="24" customWidth="1"/>
    <col min="6154" max="6154" width="13" style="24" customWidth="1"/>
    <col min="6155" max="6155" width="8" style="24" customWidth="1"/>
    <col min="6156" max="6395" width="9.140625" style="24"/>
    <col min="6396" max="6396" width="52.42578125" style="24" bestFit="1" customWidth="1"/>
    <col min="6397" max="6397" width="16.28515625" style="24" customWidth="1"/>
    <col min="6398" max="6398" width="11.28515625" style="24" bestFit="1" customWidth="1"/>
    <col min="6399" max="6399" width="7" style="24" bestFit="1" customWidth="1"/>
    <col min="6400" max="6400" width="11.85546875" style="24" customWidth="1"/>
    <col min="6401" max="6401" width="10.28515625" style="24" bestFit="1" customWidth="1"/>
    <col min="6402" max="6402" width="11.7109375" style="24" bestFit="1" customWidth="1"/>
    <col min="6403" max="6403" width="7" style="24" bestFit="1" customWidth="1"/>
    <col min="6404" max="6404" width="11.7109375" style="24" bestFit="1" customWidth="1"/>
    <col min="6405" max="6405" width="7" style="24" bestFit="1" customWidth="1"/>
    <col min="6406" max="6406" width="11.7109375" style="24" bestFit="1" customWidth="1"/>
    <col min="6407" max="6407" width="8" style="24" bestFit="1" customWidth="1"/>
    <col min="6408" max="6408" width="11.7109375" style="24" bestFit="1" customWidth="1"/>
    <col min="6409" max="6409" width="8.28515625" style="24" customWidth="1"/>
    <col min="6410" max="6410" width="13" style="24" customWidth="1"/>
    <col min="6411" max="6411" width="8" style="24" customWidth="1"/>
    <col min="6412" max="6651" width="9.140625" style="24"/>
    <col min="6652" max="6652" width="52.42578125" style="24" bestFit="1" customWidth="1"/>
    <col min="6653" max="6653" width="16.28515625" style="24" customWidth="1"/>
    <col min="6654" max="6654" width="11.28515625" style="24" bestFit="1" customWidth="1"/>
    <col min="6655" max="6655" width="7" style="24" bestFit="1" customWidth="1"/>
    <col min="6656" max="6656" width="11.85546875" style="24" customWidth="1"/>
    <col min="6657" max="6657" width="10.28515625" style="24" bestFit="1" customWidth="1"/>
    <col min="6658" max="6658" width="11.7109375" style="24" bestFit="1" customWidth="1"/>
    <col min="6659" max="6659" width="7" style="24" bestFit="1" customWidth="1"/>
    <col min="6660" max="6660" width="11.7109375" style="24" bestFit="1" customWidth="1"/>
    <col min="6661" max="6661" width="7" style="24" bestFit="1" customWidth="1"/>
    <col min="6662" max="6662" width="11.7109375" style="24" bestFit="1" customWidth="1"/>
    <col min="6663" max="6663" width="8" style="24" bestFit="1" customWidth="1"/>
    <col min="6664" max="6664" width="11.7109375" style="24" bestFit="1" customWidth="1"/>
    <col min="6665" max="6665" width="8.28515625" style="24" customWidth="1"/>
    <col min="6666" max="6666" width="13" style="24" customWidth="1"/>
    <col min="6667" max="6667" width="8" style="24" customWidth="1"/>
    <col min="6668" max="6907" width="9.140625" style="24"/>
    <col min="6908" max="6908" width="52.42578125" style="24" bestFit="1" customWidth="1"/>
    <col min="6909" max="6909" width="16.28515625" style="24" customWidth="1"/>
    <col min="6910" max="6910" width="11.28515625" style="24" bestFit="1" customWidth="1"/>
    <col min="6911" max="6911" width="7" style="24" bestFit="1" customWidth="1"/>
    <col min="6912" max="6912" width="11.85546875" style="24" customWidth="1"/>
    <col min="6913" max="6913" width="10.28515625" style="24" bestFit="1" customWidth="1"/>
    <col min="6914" max="6914" width="11.7109375" style="24" bestFit="1" customWidth="1"/>
    <col min="6915" max="6915" width="7" style="24" bestFit="1" customWidth="1"/>
    <col min="6916" max="6916" width="11.7109375" style="24" bestFit="1" customWidth="1"/>
    <col min="6917" max="6917" width="7" style="24" bestFit="1" customWidth="1"/>
    <col min="6918" max="6918" width="11.7109375" style="24" bestFit="1" customWidth="1"/>
    <col min="6919" max="6919" width="8" style="24" bestFit="1" customWidth="1"/>
    <col min="6920" max="6920" width="11.7109375" style="24" bestFit="1" customWidth="1"/>
    <col min="6921" max="6921" width="8.28515625" style="24" customWidth="1"/>
    <col min="6922" max="6922" width="13" style="24" customWidth="1"/>
    <col min="6923" max="6923" width="8" style="24" customWidth="1"/>
    <col min="6924" max="7163" width="9.140625" style="24"/>
    <col min="7164" max="7164" width="52.42578125" style="24" bestFit="1" customWidth="1"/>
    <col min="7165" max="7165" width="16.28515625" style="24" customWidth="1"/>
    <col min="7166" max="7166" width="11.28515625" style="24" bestFit="1" customWidth="1"/>
    <col min="7167" max="7167" width="7" style="24" bestFit="1" customWidth="1"/>
    <col min="7168" max="7168" width="11.85546875" style="24" customWidth="1"/>
    <col min="7169" max="7169" width="10.28515625" style="24" bestFit="1" customWidth="1"/>
    <col min="7170" max="7170" width="11.7109375" style="24" bestFit="1" customWidth="1"/>
    <col min="7171" max="7171" width="7" style="24" bestFit="1" customWidth="1"/>
    <col min="7172" max="7172" width="11.7109375" style="24" bestFit="1" customWidth="1"/>
    <col min="7173" max="7173" width="7" style="24" bestFit="1" customWidth="1"/>
    <col min="7174" max="7174" width="11.7109375" style="24" bestFit="1" customWidth="1"/>
    <col min="7175" max="7175" width="8" style="24" bestFit="1" customWidth="1"/>
    <col min="7176" max="7176" width="11.7109375" style="24" bestFit="1" customWidth="1"/>
    <col min="7177" max="7177" width="8.28515625" style="24" customWidth="1"/>
    <col min="7178" max="7178" width="13" style="24" customWidth="1"/>
    <col min="7179" max="7179" width="8" style="24" customWidth="1"/>
    <col min="7180" max="7419" width="9.140625" style="24"/>
    <col min="7420" max="7420" width="52.42578125" style="24" bestFit="1" customWidth="1"/>
    <col min="7421" max="7421" width="16.28515625" style="24" customWidth="1"/>
    <col min="7422" max="7422" width="11.28515625" style="24" bestFit="1" customWidth="1"/>
    <col min="7423" max="7423" width="7" style="24" bestFit="1" customWidth="1"/>
    <col min="7424" max="7424" width="11.85546875" style="24" customWidth="1"/>
    <col min="7425" max="7425" width="10.28515625" style="24" bestFit="1" customWidth="1"/>
    <col min="7426" max="7426" width="11.7109375" style="24" bestFit="1" customWidth="1"/>
    <col min="7427" max="7427" width="7" style="24" bestFit="1" customWidth="1"/>
    <col min="7428" max="7428" width="11.7109375" style="24" bestFit="1" customWidth="1"/>
    <col min="7429" max="7429" width="7" style="24" bestFit="1" customWidth="1"/>
    <col min="7430" max="7430" width="11.7109375" style="24" bestFit="1" customWidth="1"/>
    <col min="7431" max="7431" width="8" style="24" bestFit="1" customWidth="1"/>
    <col min="7432" max="7432" width="11.7109375" style="24" bestFit="1" customWidth="1"/>
    <col min="7433" max="7433" width="8.28515625" style="24" customWidth="1"/>
    <col min="7434" max="7434" width="13" style="24" customWidth="1"/>
    <col min="7435" max="7435" width="8" style="24" customWidth="1"/>
    <col min="7436" max="7675" width="9.140625" style="24"/>
    <col min="7676" max="7676" width="52.42578125" style="24" bestFit="1" customWidth="1"/>
    <col min="7677" max="7677" width="16.28515625" style="24" customWidth="1"/>
    <col min="7678" max="7678" width="11.28515625" style="24" bestFit="1" customWidth="1"/>
    <col min="7679" max="7679" width="7" style="24" bestFit="1" customWidth="1"/>
    <col min="7680" max="7680" width="11.85546875" style="24" customWidth="1"/>
    <col min="7681" max="7681" width="10.28515625" style="24" bestFit="1" customWidth="1"/>
    <col min="7682" max="7682" width="11.7109375" style="24" bestFit="1" customWidth="1"/>
    <col min="7683" max="7683" width="7" style="24" bestFit="1" customWidth="1"/>
    <col min="7684" max="7684" width="11.7109375" style="24" bestFit="1" customWidth="1"/>
    <col min="7685" max="7685" width="7" style="24" bestFit="1" customWidth="1"/>
    <col min="7686" max="7686" width="11.7109375" style="24" bestFit="1" customWidth="1"/>
    <col min="7687" max="7687" width="8" style="24" bestFit="1" customWidth="1"/>
    <col min="7688" max="7688" width="11.7109375" style="24" bestFit="1" customWidth="1"/>
    <col min="7689" max="7689" width="8.28515625" style="24" customWidth="1"/>
    <col min="7690" max="7690" width="13" style="24" customWidth="1"/>
    <col min="7691" max="7691" width="8" style="24" customWidth="1"/>
    <col min="7692" max="7931" width="9.140625" style="24"/>
    <col min="7932" max="7932" width="52.42578125" style="24" bestFit="1" customWidth="1"/>
    <col min="7933" max="7933" width="16.28515625" style="24" customWidth="1"/>
    <col min="7934" max="7934" width="11.28515625" style="24" bestFit="1" customWidth="1"/>
    <col min="7935" max="7935" width="7" style="24" bestFit="1" customWidth="1"/>
    <col min="7936" max="7936" width="11.85546875" style="24" customWidth="1"/>
    <col min="7937" max="7937" width="10.28515625" style="24" bestFit="1" customWidth="1"/>
    <col min="7938" max="7938" width="11.7109375" style="24" bestFit="1" customWidth="1"/>
    <col min="7939" max="7939" width="7" style="24" bestFit="1" customWidth="1"/>
    <col min="7940" max="7940" width="11.7109375" style="24" bestFit="1" customWidth="1"/>
    <col min="7941" max="7941" width="7" style="24" bestFit="1" customWidth="1"/>
    <col min="7942" max="7942" width="11.7109375" style="24" bestFit="1" customWidth="1"/>
    <col min="7943" max="7943" width="8" style="24" bestFit="1" customWidth="1"/>
    <col min="7944" max="7944" width="11.7109375" style="24" bestFit="1" customWidth="1"/>
    <col min="7945" max="7945" width="8.28515625" style="24" customWidth="1"/>
    <col min="7946" max="7946" width="13" style="24" customWidth="1"/>
    <col min="7947" max="7947" width="8" style="24" customWidth="1"/>
    <col min="7948" max="8187" width="9.140625" style="24"/>
    <col min="8188" max="8188" width="52.42578125" style="24" bestFit="1" customWidth="1"/>
    <col min="8189" max="8189" width="16.28515625" style="24" customWidth="1"/>
    <col min="8190" max="8190" width="11.28515625" style="24" bestFit="1" customWidth="1"/>
    <col min="8191" max="8191" width="7" style="24" bestFit="1" customWidth="1"/>
    <col min="8192" max="8192" width="11.85546875" style="24" customWidth="1"/>
    <col min="8193" max="8193" width="10.28515625" style="24" bestFit="1" customWidth="1"/>
    <col min="8194" max="8194" width="11.7109375" style="24" bestFit="1" customWidth="1"/>
    <col min="8195" max="8195" width="7" style="24" bestFit="1" customWidth="1"/>
    <col min="8196" max="8196" width="11.7109375" style="24" bestFit="1" customWidth="1"/>
    <col min="8197" max="8197" width="7" style="24" bestFit="1" customWidth="1"/>
    <col min="8198" max="8198" width="11.7109375" style="24" bestFit="1" customWidth="1"/>
    <col min="8199" max="8199" width="8" style="24" bestFit="1" customWidth="1"/>
    <col min="8200" max="8200" width="11.7109375" style="24" bestFit="1" customWidth="1"/>
    <col min="8201" max="8201" width="8.28515625" style="24" customWidth="1"/>
    <col min="8202" max="8202" width="13" style="24" customWidth="1"/>
    <col min="8203" max="8203" width="8" style="24" customWidth="1"/>
    <col min="8204" max="8443" width="9.140625" style="24"/>
    <col min="8444" max="8444" width="52.42578125" style="24" bestFit="1" customWidth="1"/>
    <col min="8445" max="8445" width="16.28515625" style="24" customWidth="1"/>
    <col min="8446" max="8446" width="11.28515625" style="24" bestFit="1" customWidth="1"/>
    <col min="8447" max="8447" width="7" style="24" bestFit="1" customWidth="1"/>
    <col min="8448" max="8448" width="11.85546875" style="24" customWidth="1"/>
    <col min="8449" max="8449" width="10.28515625" style="24" bestFit="1" customWidth="1"/>
    <col min="8450" max="8450" width="11.7109375" style="24" bestFit="1" customWidth="1"/>
    <col min="8451" max="8451" width="7" style="24" bestFit="1" customWidth="1"/>
    <col min="8452" max="8452" width="11.7109375" style="24" bestFit="1" customWidth="1"/>
    <col min="8453" max="8453" width="7" style="24" bestFit="1" customWidth="1"/>
    <col min="8454" max="8454" width="11.7109375" style="24" bestFit="1" customWidth="1"/>
    <col min="8455" max="8455" width="8" style="24" bestFit="1" customWidth="1"/>
    <col min="8456" max="8456" width="11.7109375" style="24" bestFit="1" customWidth="1"/>
    <col min="8457" max="8457" width="8.28515625" style="24" customWidth="1"/>
    <col min="8458" max="8458" width="13" style="24" customWidth="1"/>
    <col min="8459" max="8459" width="8" style="24" customWidth="1"/>
    <col min="8460" max="8699" width="9.140625" style="24"/>
    <col min="8700" max="8700" width="52.42578125" style="24" bestFit="1" customWidth="1"/>
    <col min="8701" max="8701" width="16.28515625" style="24" customWidth="1"/>
    <col min="8702" max="8702" width="11.28515625" style="24" bestFit="1" customWidth="1"/>
    <col min="8703" max="8703" width="7" style="24" bestFit="1" customWidth="1"/>
    <col min="8704" max="8704" width="11.85546875" style="24" customWidth="1"/>
    <col min="8705" max="8705" width="10.28515625" style="24" bestFit="1" customWidth="1"/>
    <col min="8706" max="8706" width="11.7109375" style="24" bestFit="1" customWidth="1"/>
    <col min="8707" max="8707" width="7" style="24" bestFit="1" customWidth="1"/>
    <col min="8708" max="8708" width="11.7109375" style="24" bestFit="1" customWidth="1"/>
    <col min="8709" max="8709" width="7" style="24" bestFit="1" customWidth="1"/>
    <col min="8710" max="8710" width="11.7109375" style="24" bestFit="1" customWidth="1"/>
    <col min="8711" max="8711" width="8" style="24" bestFit="1" customWidth="1"/>
    <col min="8712" max="8712" width="11.7109375" style="24" bestFit="1" customWidth="1"/>
    <col min="8713" max="8713" width="8.28515625" style="24" customWidth="1"/>
    <col min="8714" max="8714" width="13" style="24" customWidth="1"/>
    <col min="8715" max="8715" width="8" style="24" customWidth="1"/>
    <col min="8716" max="8955" width="9.140625" style="24"/>
    <col min="8956" max="8956" width="52.42578125" style="24" bestFit="1" customWidth="1"/>
    <col min="8957" max="8957" width="16.28515625" style="24" customWidth="1"/>
    <col min="8958" max="8958" width="11.28515625" style="24" bestFit="1" customWidth="1"/>
    <col min="8959" max="8959" width="7" style="24" bestFit="1" customWidth="1"/>
    <col min="8960" max="8960" width="11.85546875" style="24" customWidth="1"/>
    <col min="8961" max="8961" width="10.28515625" style="24" bestFit="1" customWidth="1"/>
    <col min="8962" max="8962" width="11.7109375" style="24" bestFit="1" customWidth="1"/>
    <col min="8963" max="8963" width="7" style="24" bestFit="1" customWidth="1"/>
    <col min="8964" max="8964" width="11.7109375" style="24" bestFit="1" customWidth="1"/>
    <col min="8965" max="8965" width="7" style="24" bestFit="1" customWidth="1"/>
    <col min="8966" max="8966" width="11.7109375" style="24" bestFit="1" customWidth="1"/>
    <col min="8967" max="8967" width="8" style="24" bestFit="1" customWidth="1"/>
    <col min="8968" max="8968" width="11.7109375" style="24" bestFit="1" customWidth="1"/>
    <col min="8969" max="8969" width="8.28515625" style="24" customWidth="1"/>
    <col min="8970" max="8970" width="13" style="24" customWidth="1"/>
    <col min="8971" max="8971" width="8" style="24" customWidth="1"/>
    <col min="8972" max="9211" width="9.140625" style="24"/>
    <col min="9212" max="9212" width="52.42578125" style="24" bestFit="1" customWidth="1"/>
    <col min="9213" max="9213" width="16.28515625" style="24" customWidth="1"/>
    <col min="9214" max="9214" width="11.28515625" style="24" bestFit="1" customWidth="1"/>
    <col min="9215" max="9215" width="7" style="24" bestFit="1" customWidth="1"/>
    <col min="9216" max="9216" width="11.85546875" style="24" customWidth="1"/>
    <col min="9217" max="9217" width="10.28515625" style="24" bestFit="1" customWidth="1"/>
    <col min="9218" max="9218" width="11.7109375" style="24" bestFit="1" customWidth="1"/>
    <col min="9219" max="9219" width="7" style="24" bestFit="1" customWidth="1"/>
    <col min="9220" max="9220" width="11.7109375" style="24" bestFit="1" customWidth="1"/>
    <col min="9221" max="9221" width="7" style="24" bestFit="1" customWidth="1"/>
    <col min="9222" max="9222" width="11.7109375" style="24" bestFit="1" customWidth="1"/>
    <col min="9223" max="9223" width="8" style="24" bestFit="1" customWidth="1"/>
    <col min="9224" max="9224" width="11.7109375" style="24" bestFit="1" customWidth="1"/>
    <col min="9225" max="9225" width="8.28515625" style="24" customWidth="1"/>
    <col min="9226" max="9226" width="13" style="24" customWidth="1"/>
    <col min="9227" max="9227" width="8" style="24" customWidth="1"/>
    <col min="9228" max="9467" width="9.140625" style="24"/>
    <col min="9468" max="9468" width="52.42578125" style="24" bestFit="1" customWidth="1"/>
    <col min="9469" max="9469" width="16.28515625" style="24" customWidth="1"/>
    <col min="9470" max="9470" width="11.28515625" style="24" bestFit="1" customWidth="1"/>
    <col min="9471" max="9471" width="7" style="24" bestFit="1" customWidth="1"/>
    <col min="9472" max="9472" width="11.85546875" style="24" customWidth="1"/>
    <col min="9473" max="9473" width="10.28515625" style="24" bestFit="1" customWidth="1"/>
    <col min="9474" max="9474" width="11.7109375" style="24" bestFit="1" customWidth="1"/>
    <col min="9475" max="9475" width="7" style="24" bestFit="1" customWidth="1"/>
    <col min="9476" max="9476" width="11.7109375" style="24" bestFit="1" customWidth="1"/>
    <col min="9477" max="9477" width="7" style="24" bestFit="1" customWidth="1"/>
    <col min="9478" max="9478" width="11.7109375" style="24" bestFit="1" customWidth="1"/>
    <col min="9479" max="9479" width="8" style="24" bestFit="1" customWidth="1"/>
    <col min="9480" max="9480" width="11.7109375" style="24" bestFit="1" customWidth="1"/>
    <col min="9481" max="9481" width="8.28515625" style="24" customWidth="1"/>
    <col min="9482" max="9482" width="13" style="24" customWidth="1"/>
    <col min="9483" max="9483" width="8" style="24" customWidth="1"/>
    <col min="9484" max="9723" width="9.140625" style="24"/>
    <col min="9724" max="9724" width="52.42578125" style="24" bestFit="1" customWidth="1"/>
    <col min="9725" max="9725" width="16.28515625" style="24" customWidth="1"/>
    <col min="9726" max="9726" width="11.28515625" style="24" bestFit="1" customWidth="1"/>
    <col min="9727" max="9727" width="7" style="24" bestFit="1" customWidth="1"/>
    <col min="9728" max="9728" width="11.85546875" style="24" customWidth="1"/>
    <col min="9729" max="9729" width="10.28515625" style="24" bestFit="1" customWidth="1"/>
    <col min="9730" max="9730" width="11.7109375" style="24" bestFit="1" customWidth="1"/>
    <col min="9731" max="9731" width="7" style="24" bestFit="1" customWidth="1"/>
    <col min="9732" max="9732" width="11.7109375" style="24" bestFit="1" customWidth="1"/>
    <col min="9733" max="9733" width="7" style="24" bestFit="1" customWidth="1"/>
    <col min="9734" max="9734" width="11.7109375" style="24" bestFit="1" customWidth="1"/>
    <col min="9735" max="9735" width="8" style="24" bestFit="1" customWidth="1"/>
    <col min="9736" max="9736" width="11.7109375" style="24" bestFit="1" customWidth="1"/>
    <col min="9737" max="9737" width="8.28515625" style="24" customWidth="1"/>
    <col min="9738" max="9738" width="13" style="24" customWidth="1"/>
    <col min="9739" max="9739" width="8" style="24" customWidth="1"/>
    <col min="9740" max="9979" width="9.140625" style="24"/>
    <col min="9980" max="9980" width="52.42578125" style="24" bestFit="1" customWidth="1"/>
    <col min="9981" max="9981" width="16.28515625" style="24" customWidth="1"/>
    <col min="9982" max="9982" width="11.28515625" style="24" bestFit="1" customWidth="1"/>
    <col min="9983" max="9983" width="7" style="24" bestFit="1" customWidth="1"/>
    <col min="9984" max="9984" width="11.85546875" style="24" customWidth="1"/>
    <col min="9985" max="9985" width="10.28515625" style="24" bestFit="1" customWidth="1"/>
    <col min="9986" max="9986" width="11.7109375" style="24" bestFit="1" customWidth="1"/>
    <col min="9987" max="9987" width="7" style="24" bestFit="1" customWidth="1"/>
    <col min="9988" max="9988" width="11.7109375" style="24" bestFit="1" customWidth="1"/>
    <col min="9989" max="9989" width="7" style="24" bestFit="1" customWidth="1"/>
    <col min="9990" max="9990" width="11.7109375" style="24" bestFit="1" customWidth="1"/>
    <col min="9991" max="9991" width="8" style="24" bestFit="1" customWidth="1"/>
    <col min="9992" max="9992" width="11.7109375" style="24" bestFit="1" customWidth="1"/>
    <col min="9993" max="9993" width="8.28515625" style="24" customWidth="1"/>
    <col min="9994" max="9994" width="13" style="24" customWidth="1"/>
    <col min="9995" max="9995" width="8" style="24" customWidth="1"/>
    <col min="9996" max="10235" width="9.140625" style="24"/>
    <col min="10236" max="10236" width="52.42578125" style="24" bestFit="1" customWidth="1"/>
    <col min="10237" max="10237" width="16.28515625" style="24" customWidth="1"/>
    <col min="10238" max="10238" width="11.28515625" style="24" bestFit="1" customWidth="1"/>
    <col min="10239" max="10239" width="7" style="24" bestFit="1" customWidth="1"/>
    <col min="10240" max="10240" width="11.85546875" style="24" customWidth="1"/>
    <col min="10241" max="10241" width="10.28515625" style="24" bestFit="1" customWidth="1"/>
    <col min="10242" max="10242" width="11.7109375" style="24" bestFit="1" customWidth="1"/>
    <col min="10243" max="10243" width="7" style="24" bestFit="1" customWidth="1"/>
    <col min="10244" max="10244" width="11.7109375" style="24" bestFit="1" customWidth="1"/>
    <col min="10245" max="10245" width="7" style="24" bestFit="1" customWidth="1"/>
    <col min="10246" max="10246" width="11.7109375" style="24" bestFit="1" customWidth="1"/>
    <col min="10247" max="10247" width="8" style="24" bestFit="1" customWidth="1"/>
    <col min="10248" max="10248" width="11.7109375" style="24" bestFit="1" customWidth="1"/>
    <col min="10249" max="10249" width="8.28515625" style="24" customWidth="1"/>
    <col min="10250" max="10250" width="13" style="24" customWidth="1"/>
    <col min="10251" max="10251" width="8" style="24" customWidth="1"/>
    <col min="10252" max="10491" width="9.140625" style="24"/>
    <col min="10492" max="10492" width="52.42578125" style="24" bestFit="1" customWidth="1"/>
    <col min="10493" max="10493" width="16.28515625" style="24" customWidth="1"/>
    <col min="10494" max="10494" width="11.28515625" style="24" bestFit="1" customWidth="1"/>
    <col min="10495" max="10495" width="7" style="24" bestFit="1" customWidth="1"/>
    <col min="10496" max="10496" width="11.85546875" style="24" customWidth="1"/>
    <col min="10497" max="10497" width="10.28515625" style="24" bestFit="1" customWidth="1"/>
    <col min="10498" max="10498" width="11.7109375" style="24" bestFit="1" customWidth="1"/>
    <col min="10499" max="10499" width="7" style="24" bestFit="1" customWidth="1"/>
    <col min="10500" max="10500" width="11.7109375" style="24" bestFit="1" customWidth="1"/>
    <col min="10501" max="10501" width="7" style="24" bestFit="1" customWidth="1"/>
    <col min="10502" max="10502" width="11.7109375" style="24" bestFit="1" customWidth="1"/>
    <col min="10503" max="10503" width="8" style="24" bestFit="1" customWidth="1"/>
    <col min="10504" max="10504" width="11.7109375" style="24" bestFit="1" customWidth="1"/>
    <col min="10505" max="10505" width="8.28515625" style="24" customWidth="1"/>
    <col min="10506" max="10506" width="13" style="24" customWidth="1"/>
    <col min="10507" max="10507" width="8" style="24" customWidth="1"/>
    <col min="10508" max="10747" width="9.140625" style="24"/>
    <col min="10748" max="10748" width="52.42578125" style="24" bestFit="1" customWidth="1"/>
    <col min="10749" max="10749" width="16.28515625" style="24" customWidth="1"/>
    <col min="10750" max="10750" width="11.28515625" style="24" bestFit="1" customWidth="1"/>
    <col min="10751" max="10751" width="7" style="24" bestFit="1" customWidth="1"/>
    <col min="10752" max="10752" width="11.85546875" style="24" customWidth="1"/>
    <col min="10753" max="10753" width="10.28515625" style="24" bestFit="1" customWidth="1"/>
    <col min="10754" max="10754" width="11.7109375" style="24" bestFit="1" customWidth="1"/>
    <col min="10755" max="10755" width="7" style="24" bestFit="1" customWidth="1"/>
    <col min="10756" max="10756" width="11.7109375" style="24" bestFit="1" customWidth="1"/>
    <col min="10757" max="10757" width="7" style="24" bestFit="1" customWidth="1"/>
    <col min="10758" max="10758" width="11.7109375" style="24" bestFit="1" customWidth="1"/>
    <col min="10759" max="10759" width="8" style="24" bestFit="1" customWidth="1"/>
    <col min="10760" max="10760" width="11.7109375" style="24" bestFit="1" customWidth="1"/>
    <col min="10761" max="10761" width="8.28515625" style="24" customWidth="1"/>
    <col min="10762" max="10762" width="13" style="24" customWidth="1"/>
    <col min="10763" max="10763" width="8" style="24" customWidth="1"/>
    <col min="10764" max="11003" width="9.140625" style="24"/>
    <col min="11004" max="11004" width="52.42578125" style="24" bestFit="1" customWidth="1"/>
    <col min="11005" max="11005" width="16.28515625" style="24" customWidth="1"/>
    <col min="11006" max="11006" width="11.28515625" style="24" bestFit="1" customWidth="1"/>
    <col min="11007" max="11007" width="7" style="24" bestFit="1" customWidth="1"/>
    <col min="11008" max="11008" width="11.85546875" style="24" customWidth="1"/>
    <col min="11009" max="11009" width="10.28515625" style="24" bestFit="1" customWidth="1"/>
    <col min="11010" max="11010" width="11.7109375" style="24" bestFit="1" customWidth="1"/>
    <col min="11011" max="11011" width="7" style="24" bestFit="1" customWidth="1"/>
    <col min="11012" max="11012" width="11.7109375" style="24" bestFit="1" customWidth="1"/>
    <col min="11013" max="11013" width="7" style="24" bestFit="1" customWidth="1"/>
    <col min="11014" max="11014" width="11.7109375" style="24" bestFit="1" customWidth="1"/>
    <col min="11015" max="11015" width="8" style="24" bestFit="1" customWidth="1"/>
    <col min="11016" max="11016" width="11.7109375" style="24" bestFit="1" customWidth="1"/>
    <col min="11017" max="11017" width="8.28515625" style="24" customWidth="1"/>
    <col min="11018" max="11018" width="13" style="24" customWidth="1"/>
    <col min="11019" max="11019" width="8" style="24" customWidth="1"/>
    <col min="11020" max="11259" width="9.140625" style="24"/>
    <col min="11260" max="11260" width="52.42578125" style="24" bestFit="1" customWidth="1"/>
    <col min="11261" max="11261" width="16.28515625" style="24" customWidth="1"/>
    <col min="11262" max="11262" width="11.28515625" style="24" bestFit="1" customWidth="1"/>
    <col min="11263" max="11263" width="7" style="24" bestFit="1" customWidth="1"/>
    <col min="11264" max="11264" width="11.85546875" style="24" customWidth="1"/>
    <col min="11265" max="11265" width="10.28515625" style="24" bestFit="1" customWidth="1"/>
    <col min="11266" max="11266" width="11.7109375" style="24" bestFit="1" customWidth="1"/>
    <col min="11267" max="11267" width="7" style="24" bestFit="1" customWidth="1"/>
    <col min="11268" max="11268" width="11.7109375" style="24" bestFit="1" customWidth="1"/>
    <col min="11269" max="11269" width="7" style="24" bestFit="1" customWidth="1"/>
    <col min="11270" max="11270" width="11.7109375" style="24" bestFit="1" customWidth="1"/>
    <col min="11271" max="11271" width="8" style="24" bestFit="1" customWidth="1"/>
    <col min="11272" max="11272" width="11.7109375" style="24" bestFit="1" customWidth="1"/>
    <col min="11273" max="11273" width="8.28515625" style="24" customWidth="1"/>
    <col min="11274" max="11274" width="13" style="24" customWidth="1"/>
    <col min="11275" max="11275" width="8" style="24" customWidth="1"/>
    <col min="11276" max="11515" width="9.140625" style="24"/>
    <col min="11516" max="11516" width="52.42578125" style="24" bestFit="1" customWidth="1"/>
    <col min="11517" max="11517" width="16.28515625" style="24" customWidth="1"/>
    <col min="11518" max="11518" width="11.28515625" style="24" bestFit="1" customWidth="1"/>
    <col min="11519" max="11519" width="7" style="24" bestFit="1" customWidth="1"/>
    <col min="11520" max="11520" width="11.85546875" style="24" customWidth="1"/>
    <col min="11521" max="11521" width="10.28515625" style="24" bestFit="1" customWidth="1"/>
    <col min="11522" max="11522" width="11.7109375" style="24" bestFit="1" customWidth="1"/>
    <col min="11523" max="11523" width="7" style="24" bestFit="1" customWidth="1"/>
    <col min="11524" max="11524" width="11.7109375" style="24" bestFit="1" customWidth="1"/>
    <col min="11525" max="11525" width="7" style="24" bestFit="1" customWidth="1"/>
    <col min="11526" max="11526" width="11.7109375" style="24" bestFit="1" customWidth="1"/>
    <col min="11527" max="11527" width="8" style="24" bestFit="1" customWidth="1"/>
    <col min="11528" max="11528" width="11.7109375" style="24" bestFit="1" customWidth="1"/>
    <col min="11529" max="11529" width="8.28515625" style="24" customWidth="1"/>
    <col min="11530" max="11530" width="13" style="24" customWidth="1"/>
    <col min="11531" max="11531" width="8" style="24" customWidth="1"/>
    <col min="11532" max="11771" width="9.140625" style="24"/>
    <col min="11772" max="11772" width="52.42578125" style="24" bestFit="1" customWidth="1"/>
    <col min="11773" max="11773" width="16.28515625" style="24" customWidth="1"/>
    <col min="11774" max="11774" width="11.28515625" style="24" bestFit="1" customWidth="1"/>
    <col min="11775" max="11775" width="7" style="24" bestFit="1" customWidth="1"/>
    <col min="11776" max="11776" width="11.85546875" style="24" customWidth="1"/>
    <col min="11777" max="11777" width="10.28515625" style="24" bestFit="1" customWidth="1"/>
    <col min="11778" max="11778" width="11.7109375" style="24" bestFit="1" customWidth="1"/>
    <col min="11779" max="11779" width="7" style="24" bestFit="1" customWidth="1"/>
    <col min="11780" max="11780" width="11.7109375" style="24" bestFit="1" customWidth="1"/>
    <col min="11781" max="11781" width="7" style="24" bestFit="1" customWidth="1"/>
    <col min="11782" max="11782" width="11.7109375" style="24" bestFit="1" customWidth="1"/>
    <col min="11783" max="11783" width="8" style="24" bestFit="1" customWidth="1"/>
    <col min="11784" max="11784" width="11.7109375" style="24" bestFit="1" customWidth="1"/>
    <col min="11785" max="11785" width="8.28515625" style="24" customWidth="1"/>
    <col min="11786" max="11786" width="13" style="24" customWidth="1"/>
    <col min="11787" max="11787" width="8" style="24" customWidth="1"/>
    <col min="11788" max="12027" width="9.140625" style="24"/>
    <col min="12028" max="12028" width="52.42578125" style="24" bestFit="1" customWidth="1"/>
    <col min="12029" max="12029" width="16.28515625" style="24" customWidth="1"/>
    <col min="12030" max="12030" width="11.28515625" style="24" bestFit="1" customWidth="1"/>
    <col min="12031" max="12031" width="7" style="24" bestFit="1" customWidth="1"/>
    <col min="12032" max="12032" width="11.85546875" style="24" customWidth="1"/>
    <col min="12033" max="12033" width="10.28515625" style="24" bestFit="1" customWidth="1"/>
    <col min="12034" max="12034" width="11.7109375" style="24" bestFit="1" customWidth="1"/>
    <col min="12035" max="12035" width="7" style="24" bestFit="1" customWidth="1"/>
    <col min="12036" max="12036" width="11.7109375" style="24" bestFit="1" customWidth="1"/>
    <col min="12037" max="12037" width="7" style="24" bestFit="1" customWidth="1"/>
    <col min="12038" max="12038" width="11.7109375" style="24" bestFit="1" customWidth="1"/>
    <col min="12039" max="12039" width="8" style="24" bestFit="1" customWidth="1"/>
    <col min="12040" max="12040" width="11.7109375" style="24" bestFit="1" customWidth="1"/>
    <col min="12041" max="12041" width="8.28515625" style="24" customWidth="1"/>
    <col min="12042" max="12042" width="13" style="24" customWidth="1"/>
    <col min="12043" max="12043" width="8" style="24" customWidth="1"/>
    <col min="12044" max="12283" width="9.140625" style="24"/>
    <col min="12284" max="12284" width="52.42578125" style="24" bestFit="1" customWidth="1"/>
    <col min="12285" max="12285" width="16.28515625" style="24" customWidth="1"/>
    <col min="12286" max="12286" width="11.28515625" style="24" bestFit="1" customWidth="1"/>
    <col min="12287" max="12287" width="7" style="24" bestFit="1" customWidth="1"/>
    <col min="12288" max="12288" width="11.85546875" style="24" customWidth="1"/>
    <col min="12289" max="12289" width="10.28515625" style="24" bestFit="1" customWidth="1"/>
    <col min="12290" max="12290" width="11.7109375" style="24" bestFit="1" customWidth="1"/>
    <col min="12291" max="12291" width="7" style="24" bestFit="1" customWidth="1"/>
    <col min="12292" max="12292" width="11.7109375" style="24" bestFit="1" customWidth="1"/>
    <col min="12293" max="12293" width="7" style="24" bestFit="1" customWidth="1"/>
    <col min="12294" max="12294" width="11.7109375" style="24" bestFit="1" customWidth="1"/>
    <col min="12295" max="12295" width="8" style="24" bestFit="1" customWidth="1"/>
    <col min="12296" max="12296" width="11.7109375" style="24" bestFit="1" customWidth="1"/>
    <col min="12297" max="12297" width="8.28515625" style="24" customWidth="1"/>
    <col min="12298" max="12298" width="13" style="24" customWidth="1"/>
    <col min="12299" max="12299" width="8" style="24" customWidth="1"/>
    <col min="12300" max="12539" width="9.140625" style="24"/>
    <col min="12540" max="12540" width="52.42578125" style="24" bestFit="1" customWidth="1"/>
    <col min="12541" max="12541" width="16.28515625" style="24" customWidth="1"/>
    <col min="12542" max="12542" width="11.28515625" style="24" bestFit="1" customWidth="1"/>
    <col min="12543" max="12543" width="7" style="24" bestFit="1" customWidth="1"/>
    <col min="12544" max="12544" width="11.85546875" style="24" customWidth="1"/>
    <col min="12545" max="12545" width="10.28515625" style="24" bestFit="1" customWidth="1"/>
    <col min="12546" max="12546" width="11.7109375" style="24" bestFit="1" customWidth="1"/>
    <col min="12547" max="12547" width="7" style="24" bestFit="1" customWidth="1"/>
    <col min="12548" max="12548" width="11.7109375" style="24" bestFit="1" customWidth="1"/>
    <col min="12549" max="12549" width="7" style="24" bestFit="1" customWidth="1"/>
    <col min="12550" max="12550" width="11.7109375" style="24" bestFit="1" customWidth="1"/>
    <col min="12551" max="12551" width="8" style="24" bestFit="1" customWidth="1"/>
    <col min="12552" max="12552" width="11.7109375" style="24" bestFit="1" customWidth="1"/>
    <col min="12553" max="12553" width="8.28515625" style="24" customWidth="1"/>
    <col min="12554" max="12554" width="13" style="24" customWidth="1"/>
    <col min="12555" max="12555" width="8" style="24" customWidth="1"/>
    <col min="12556" max="12795" width="9.140625" style="24"/>
    <col min="12796" max="12796" width="52.42578125" style="24" bestFit="1" customWidth="1"/>
    <col min="12797" max="12797" width="16.28515625" style="24" customWidth="1"/>
    <col min="12798" max="12798" width="11.28515625" style="24" bestFit="1" customWidth="1"/>
    <col min="12799" max="12799" width="7" style="24" bestFit="1" customWidth="1"/>
    <col min="12800" max="12800" width="11.85546875" style="24" customWidth="1"/>
    <col min="12801" max="12801" width="10.28515625" style="24" bestFit="1" customWidth="1"/>
    <col min="12802" max="12802" width="11.7109375" style="24" bestFit="1" customWidth="1"/>
    <col min="12803" max="12803" width="7" style="24" bestFit="1" customWidth="1"/>
    <col min="12804" max="12804" width="11.7109375" style="24" bestFit="1" customWidth="1"/>
    <col min="12805" max="12805" width="7" style="24" bestFit="1" customWidth="1"/>
    <col min="12806" max="12806" width="11.7109375" style="24" bestFit="1" customWidth="1"/>
    <col min="12807" max="12807" width="8" style="24" bestFit="1" customWidth="1"/>
    <col min="12808" max="12808" width="11.7109375" style="24" bestFit="1" customWidth="1"/>
    <col min="12809" max="12809" width="8.28515625" style="24" customWidth="1"/>
    <col min="12810" max="12810" width="13" style="24" customWidth="1"/>
    <col min="12811" max="12811" width="8" style="24" customWidth="1"/>
    <col min="12812" max="13051" width="9.140625" style="24"/>
    <col min="13052" max="13052" width="52.42578125" style="24" bestFit="1" customWidth="1"/>
    <col min="13053" max="13053" width="16.28515625" style="24" customWidth="1"/>
    <col min="13054" max="13054" width="11.28515625" style="24" bestFit="1" customWidth="1"/>
    <col min="13055" max="13055" width="7" style="24" bestFit="1" customWidth="1"/>
    <col min="13056" max="13056" width="11.85546875" style="24" customWidth="1"/>
    <col min="13057" max="13057" width="10.28515625" style="24" bestFit="1" customWidth="1"/>
    <col min="13058" max="13058" width="11.7109375" style="24" bestFit="1" customWidth="1"/>
    <col min="13059" max="13059" width="7" style="24" bestFit="1" customWidth="1"/>
    <col min="13060" max="13060" width="11.7109375" style="24" bestFit="1" customWidth="1"/>
    <col min="13061" max="13061" width="7" style="24" bestFit="1" customWidth="1"/>
    <col min="13062" max="13062" width="11.7109375" style="24" bestFit="1" customWidth="1"/>
    <col min="13063" max="13063" width="8" style="24" bestFit="1" customWidth="1"/>
    <col min="13064" max="13064" width="11.7109375" style="24" bestFit="1" customWidth="1"/>
    <col min="13065" max="13065" width="8.28515625" style="24" customWidth="1"/>
    <col min="13066" max="13066" width="13" style="24" customWidth="1"/>
    <col min="13067" max="13067" width="8" style="24" customWidth="1"/>
    <col min="13068" max="13307" width="9.140625" style="24"/>
    <col min="13308" max="13308" width="52.42578125" style="24" bestFit="1" customWidth="1"/>
    <col min="13309" max="13309" width="16.28515625" style="24" customWidth="1"/>
    <col min="13310" max="13310" width="11.28515625" style="24" bestFit="1" customWidth="1"/>
    <col min="13311" max="13311" width="7" style="24" bestFit="1" customWidth="1"/>
    <col min="13312" max="13312" width="11.85546875" style="24" customWidth="1"/>
    <col min="13313" max="13313" width="10.28515625" style="24" bestFit="1" customWidth="1"/>
    <col min="13314" max="13314" width="11.7109375" style="24" bestFit="1" customWidth="1"/>
    <col min="13315" max="13315" width="7" style="24" bestFit="1" customWidth="1"/>
    <col min="13316" max="13316" width="11.7109375" style="24" bestFit="1" customWidth="1"/>
    <col min="13317" max="13317" width="7" style="24" bestFit="1" customWidth="1"/>
    <col min="13318" max="13318" width="11.7109375" style="24" bestFit="1" customWidth="1"/>
    <col min="13319" max="13319" width="8" style="24" bestFit="1" customWidth="1"/>
    <col min="13320" max="13320" width="11.7109375" style="24" bestFit="1" customWidth="1"/>
    <col min="13321" max="13321" width="8.28515625" style="24" customWidth="1"/>
    <col min="13322" max="13322" width="13" style="24" customWidth="1"/>
    <col min="13323" max="13323" width="8" style="24" customWidth="1"/>
    <col min="13324" max="13563" width="9.140625" style="24"/>
    <col min="13564" max="13564" width="52.42578125" style="24" bestFit="1" customWidth="1"/>
    <col min="13565" max="13565" width="16.28515625" style="24" customWidth="1"/>
    <col min="13566" max="13566" width="11.28515625" style="24" bestFit="1" customWidth="1"/>
    <col min="13567" max="13567" width="7" style="24" bestFit="1" customWidth="1"/>
    <col min="13568" max="13568" width="11.85546875" style="24" customWidth="1"/>
    <col min="13569" max="13569" width="10.28515625" style="24" bestFit="1" customWidth="1"/>
    <col min="13570" max="13570" width="11.7109375" style="24" bestFit="1" customWidth="1"/>
    <col min="13571" max="13571" width="7" style="24" bestFit="1" customWidth="1"/>
    <col min="13572" max="13572" width="11.7109375" style="24" bestFit="1" customWidth="1"/>
    <col min="13573" max="13573" width="7" style="24" bestFit="1" customWidth="1"/>
    <col min="13574" max="13574" width="11.7109375" style="24" bestFit="1" customWidth="1"/>
    <col min="13575" max="13575" width="8" style="24" bestFit="1" customWidth="1"/>
    <col min="13576" max="13576" width="11.7109375" style="24" bestFit="1" customWidth="1"/>
    <col min="13577" max="13577" width="8.28515625" style="24" customWidth="1"/>
    <col min="13578" max="13578" width="13" style="24" customWidth="1"/>
    <col min="13579" max="13579" width="8" style="24" customWidth="1"/>
    <col min="13580" max="13819" width="9.140625" style="24"/>
    <col min="13820" max="13820" width="52.42578125" style="24" bestFit="1" customWidth="1"/>
    <col min="13821" max="13821" width="16.28515625" style="24" customWidth="1"/>
    <col min="13822" max="13822" width="11.28515625" style="24" bestFit="1" customWidth="1"/>
    <col min="13823" max="13823" width="7" style="24" bestFit="1" customWidth="1"/>
    <col min="13824" max="13824" width="11.85546875" style="24" customWidth="1"/>
    <col min="13825" max="13825" width="10.28515625" style="24" bestFit="1" customWidth="1"/>
    <col min="13826" max="13826" width="11.7109375" style="24" bestFit="1" customWidth="1"/>
    <col min="13827" max="13827" width="7" style="24" bestFit="1" customWidth="1"/>
    <col min="13828" max="13828" width="11.7109375" style="24" bestFit="1" customWidth="1"/>
    <col min="13829" max="13829" width="7" style="24" bestFit="1" customWidth="1"/>
    <col min="13830" max="13830" width="11.7109375" style="24" bestFit="1" customWidth="1"/>
    <col min="13831" max="13831" width="8" style="24" bestFit="1" customWidth="1"/>
    <col min="13832" max="13832" width="11.7109375" style="24" bestFit="1" customWidth="1"/>
    <col min="13833" max="13833" width="8.28515625" style="24" customWidth="1"/>
    <col min="13834" max="13834" width="13" style="24" customWidth="1"/>
    <col min="13835" max="13835" width="8" style="24" customWidth="1"/>
    <col min="13836" max="14075" width="9.140625" style="24"/>
    <col min="14076" max="14076" width="52.42578125" style="24" bestFit="1" customWidth="1"/>
    <col min="14077" max="14077" width="16.28515625" style="24" customWidth="1"/>
    <col min="14078" max="14078" width="11.28515625" style="24" bestFit="1" customWidth="1"/>
    <col min="14079" max="14079" width="7" style="24" bestFit="1" customWidth="1"/>
    <col min="14080" max="14080" width="11.85546875" style="24" customWidth="1"/>
    <col min="14081" max="14081" width="10.28515625" style="24" bestFit="1" customWidth="1"/>
    <col min="14082" max="14082" width="11.7109375" style="24" bestFit="1" customWidth="1"/>
    <col min="14083" max="14083" width="7" style="24" bestFit="1" customWidth="1"/>
    <col min="14084" max="14084" width="11.7109375" style="24" bestFit="1" customWidth="1"/>
    <col min="14085" max="14085" width="7" style="24" bestFit="1" customWidth="1"/>
    <col min="14086" max="14086" width="11.7109375" style="24" bestFit="1" customWidth="1"/>
    <col min="14087" max="14087" width="8" style="24" bestFit="1" customWidth="1"/>
    <col min="14088" max="14088" width="11.7109375" style="24" bestFit="1" customWidth="1"/>
    <col min="14089" max="14089" width="8.28515625" style="24" customWidth="1"/>
    <col min="14090" max="14090" width="13" style="24" customWidth="1"/>
    <col min="14091" max="14091" width="8" style="24" customWidth="1"/>
    <col min="14092" max="14331" width="9.140625" style="24"/>
    <col min="14332" max="14332" width="52.42578125" style="24" bestFit="1" customWidth="1"/>
    <col min="14333" max="14333" width="16.28515625" style="24" customWidth="1"/>
    <col min="14334" max="14334" width="11.28515625" style="24" bestFit="1" customWidth="1"/>
    <col min="14335" max="14335" width="7" style="24" bestFit="1" customWidth="1"/>
    <col min="14336" max="14336" width="11.85546875" style="24" customWidth="1"/>
    <col min="14337" max="14337" width="10.28515625" style="24" bestFit="1" customWidth="1"/>
    <col min="14338" max="14338" width="11.7109375" style="24" bestFit="1" customWidth="1"/>
    <col min="14339" max="14339" width="7" style="24" bestFit="1" customWidth="1"/>
    <col min="14340" max="14340" width="11.7109375" style="24" bestFit="1" customWidth="1"/>
    <col min="14341" max="14341" width="7" style="24" bestFit="1" customWidth="1"/>
    <col min="14342" max="14342" width="11.7109375" style="24" bestFit="1" customWidth="1"/>
    <col min="14343" max="14343" width="8" style="24" bestFit="1" customWidth="1"/>
    <col min="14344" max="14344" width="11.7109375" style="24" bestFit="1" customWidth="1"/>
    <col min="14345" max="14345" width="8.28515625" style="24" customWidth="1"/>
    <col min="14346" max="14346" width="13" style="24" customWidth="1"/>
    <col min="14347" max="14347" width="8" style="24" customWidth="1"/>
    <col min="14348" max="14587" width="9.140625" style="24"/>
    <col min="14588" max="14588" width="52.42578125" style="24" bestFit="1" customWidth="1"/>
    <col min="14589" max="14589" width="16.28515625" style="24" customWidth="1"/>
    <col min="14590" max="14590" width="11.28515625" style="24" bestFit="1" customWidth="1"/>
    <col min="14591" max="14591" width="7" style="24" bestFit="1" customWidth="1"/>
    <col min="14592" max="14592" width="11.85546875" style="24" customWidth="1"/>
    <col min="14593" max="14593" width="10.28515625" style="24" bestFit="1" customWidth="1"/>
    <col min="14594" max="14594" width="11.7109375" style="24" bestFit="1" customWidth="1"/>
    <col min="14595" max="14595" width="7" style="24" bestFit="1" customWidth="1"/>
    <col min="14596" max="14596" width="11.7109375" style="24" bestFit="1" customWidth="1"/>
    <col min="14597" max="14597" width="7" style="24" bestFit="1" customWidth="1"/>
    <col min="14598" max="14598" width="11.7109375" style="24" bestFit="1" customWidth="1"/>
    <col min="14599" max="14599" width="8" style="24" bestFit="1" customWidth="1"/>
    <col min="14600" max="14600" width="11.7109375" style="24" bestFit="1" customWidth="1"/>
    <col min="14601" max="14601" width="8.28515625" style="24" customWidth="1"/>
    <col min="14602" max="14602" width="13" style="24" customWidth="1"/>
    <col min="14603" max="14603" width="8" style="24" customWidth="1"/>
    <col min="14604" max="14843" width="9.140625" style="24"/>
    <col min="14844" max="14844" width="52.42578125" style="24" bestFit="1" customWidth="1"/>
    <col min="14845" max="14845" width="16.28515625" style="24" customWidth="1"/>
    <col min="14846" max="14846" width="11.28515625" style="24" bestFit="1" customWidth="1"/>
    <col min="14847" max="14847" width="7" style="24" bestFit="1" customWidth="1"/>
    <col min="14848" max="14848" width="11.85546875" style="24" customWidth="1"/>
    <col min="14849" max="14849" width="10.28515625" style="24" bestFit="1" customWidth="1"/>
    <col min="14850" max="14850" width="11.7109375" style="24" bestFit="1" customWidth="1"/>
    <col min="14851" max="14851" width="7" style="24" bestFit="1" customWidth="1"/>
    <col min="14852" max="14852" width="11.7109375" style="24" bestFit="1" customWidth="1"/>
    <col min="14853" max="14853" width="7" style="24" bestFit="1" customWidth="1"/>
    <col min="14854" max="14854" width="11.7109375" style="24" bestFit="1" customWidth="1"/>
    <col min="14855" max="14855" width="8" style="24" bestFit="1" customWidth="1"/>
    <col min="14856" max="14856" width="11.7109375" style="24" bestFit="1" customWidth="1"/>
    <col min="14857" max="14857" width="8.28515625" style="24" customWidth="1"/>
    <col min="14858" max="14858" width="13" style="24" customWidth="1"/>
    <col min="14859" max="14859" width="8" style="24" customWidth="1"/>
    <col min="14860" max="15099" width="9.140625" style="24"/>
    <col min="15100" max="15100" width="52.42578125" style="24" bestFit="1" customWidth="1"/>
    <col min="15101" max="15101" width="16.28515625" style="24" customWidth="1"/>
    <col min="15102" max="15102" width="11.28515625" style="24" bestFit="1" customWidth="1"/>
    <col min="15103" max="15103" width="7" style="24" bestFit="1" customWidth="1"/>
    <col min="15104" max="15104" width="11.85546875" style="24" customWidth="1"/>
    <col min="15105" max="15105" width="10.28515625" style="24" bestFit="1" customWidth="1"/>
    <col min="15106" max="15106" width="11.7109375" style="24" bestFit="1" customWidth="1"/>
    <col min="15107" max="15107" width="7" style="24" bestFit="1" customWidth="1"/>
    <col min="15108" max="15108" width="11.7109375" style="24" bestFit="1" customWidth="1"/>
    <col min="15109" max="15109" width="7" style="24" bestFit="1" customWidth="1"/>
    <col min="15110" max="15110" width="11.7109375" style="24" bestFit="1" customWidth="1"/>
    <col min="15111" max="15111" width="8" style="24" bestFit="1" customWidth="1"/>
    <col min="15112" max="15112" width="11.7109375" style="24" bestFit="1" customWidth="1"/>
    <col min="15113" max="15113" width="8.28515625" style="24" customWidth="1"/>
    <col min="15114" max="15114" width="13" style="24" customWidth="1"/>
    <col min="15115" max="15115" width="8" style="24" customWidth="1"/>
    <col min="15116" max="15355" width="9.140625" style="24"/>
    <col min="15356" max="15356" width="52.42578125" style="24" bestFit="1" customWidth="1"/>
    <col min="15357" max="15357" width="16.28515625" style="24" customWidth="1"/>
    <col min="15358" max="15358" width="11.28515625" style="24" bestFit="1" customWidth="1"/>
    <col min="15359" max="15359" width="7" style="24" bestFit="1" customWidth="1"/>
    <col min="15360" max="15360" width="11.85546875" style="24" customWidth="1"/>
    <col min="15361" max="15361" width="10.28515625" style="24" bestFit="1" customWidth="1"/>
    <col min="15362" max="15362" width="11.7109375" style="24" bestFit="1" customWidth="1"/>
    <col min="15363" max="15363" width="7" style="24" bestFit="1" customWidth="1"/>
    <col min="15364" max="15364" width="11.7109375" style="24" bestFit="1" customWidth="1"/>
    <col min="15365" max="15365" width="7" style="24" bestFit="1" customWidth="1"/>
    <col min="15366" max="15366" width="11.7109375" style="24" bestFit="1" customWidth="1"/>
    <col min="15367" max="15367" width="8" style="24" bestFit="1" customWidth="1"/>
    <col min="15368" max="15368" width="11.7109375" style="24" bestFit="1" customWidth="1"/>
    <col min="15369" max="15369" width="8.28515625" style="24" customWidth="1"/>
    <col min="15370" max="15370" width="13" style="24" customWidth="1"/>
    <col min="15371" max="15371" width="8" style="24" customWidth="1"/>
    <col min="15372" max="15611" width="9.140625" style="24"/>
    <col min="15612" max="15612" width="52.42578125" style="24" bestFit="1" customWidth="1"/>
    <col min="15613" max="15613" width="16.28515625" style="24" customWidth="1"/>
    <col min="15614" max="15614" width="11.28515625" style="24" bestFit="1" customWidth="1"/>
    <col min="15615" max="15615" width="7" style="24" bestFit="1" customWidth="1"/>
    <col min="15616" max="15616" width="11.85546875" style="24" customWidth="1"/>
    <col min="15617" max="15617" width="10.28515625" style="24" bestFit="1" customWidth="1"/>
    <col min="15618" max="15618" width="11.7109375" style="24" bestFit="1" customWidth="1"/>
    <col min="15619" max="15619" width="7" style="24" bestFit="1" customWidth="1"/>
    <col min="15620" max="15620" width="11.7109375" style="24" bestFit="1" customWidth="1"/>
    <col min="15621" max="15621" width="7" style="24" bestFit="1" customWidth="1"/>
    <col min="15622" max="15622" width="11.7109375" style="24" bestFit="1" customWidth="1"/>
    <col min="15623" max="15623" width="8" style="24" bestFit="1" customWidth="1"/>
    <col min="15624" max="15624" width="11.7109375" style="24" bestFit="1" customWidth="1"/>
    <col min="15625" max="15625" width="8.28515625" style="24" customWidth="1"/>
    <col min="15626" max="15626" width="13" style="24" customWidth="1"/>
    <col min="15627" max="15627" width="8" style="24" customWidth="1"/>
    <col min="15628" max="15867" width="9.140625" style="24"/>
    <col min="15868" max="15868" width="52.42578125" style="24" bestFit="1" customWidth="1"/>
    <col min="15869" max="15869" width="16.28515625" style="24" customWidth="1"/>
    <col min="15870" max="15870" width="11.28515625" style="24" bestFit="1" customWidth="1"/>
    <col min="15871" max="15871" width="7" style="24" bestFit="1" customWidth="1"/>
    <col min="15872" max="15872" width="11.85546875" style="24" customWidth="1"/>
    <col min="15873" max="15873" width="10.28515625" style="24" bestFit="1" customWidth="1"/>
    <col min="15874" max="15874" width="11.7109375" style="24" bestFit="1" customWidth="1"/>
    <col min="15875" max="15875" width="7" style="24" bestFit="1" customWidth="1"/>
    <col min="15876" max="15876" width="11.7109375" style="24" bestFit="1" customWidth="1"/>
    <col min="15877" max="15877" width="7" style="24" bestFit="1" customWidth="1"/>
    <col min="15878" max="15878" width="11.7109375" style="24" bestFit="1" customWidth="1"/>
    <col min="15879" max="15879" width="8" style="24" bestFit="1" customWidth="1"/>
    <col min="15880" max="15880" width="11.7109375" style="24" bestFit="1" customWidth="1"/>
    <col min="15881" max="15881" width="8.28515625" style="24" customWidth="1"/>
    <col min="15882" max="15882" width="13" style="24" customWidth="1"/>
    <col min="15883" max="15883" width="8" style="24" customWidth="1"/>
    <col min="15884" max="16123" width="9.140625" style="24"/>
    <col min="16124" max="16124" width="52.42578125" style="24" bestFit="1" customWidth="1"/>
    <col min="16125" max="16125" width="16.28515625" style="24" customWidth="1"/>
    <col min="16126" max="16126" width="11.28515625" style="24" bestFit="1" customWidth="1"/>
    <col min="16127" max="16127" width="7" style="24" bestFit="1" customWidth="1"/>
    <col min="16128" max="16128" width="11.85546875" style="24" customWidth="1"/>
    <col min="16129" max="16129" width="10.28515625" style="24" bestFit="1" customWidth="1"/>
    <col min="16130" max="16130" width="11.7109375" style="24" bestFit="1" customWidth="1"/>
    <col min="16131" max="16131" width="7" style="24" bestFit="1" customWidth="1"/>
    <col min="16132" max="16132" width="11.7109375" style="24" bestFit="1" customWidth="1"/>
    <col min="16133" max="16133" width="7" style="24" bestFit="1" customWidth="1"/>
    <col min="16134" max="16134" width="11.7109375" style="24" bestFit="1" customWidth="1"/>
    <col min="16135" max="16135" width="8" style="24" bestFit="1" customWidth="1"/>
    <col min="16136" max="16136" width="11.7109375" style="24" bestFit="1" customWidth="1"/>
    <col min="16137" max="16137" width="8.28515625" style="24" customWidth="1"/>
    <col min="16138" max="16138" width="13" style="24" customWidth="1"/>
    <col min="16139" max="16139" width="8" style="24" customWidth="1"/>
    <col min="16140" max="16378" width="9.140625" style="24"/>
    <col min="16379" max="16384" width="9.140625" style="24" customWidth="1"/>
  </cols>
  <sheetData>
    <row r="5" spans="2:14" ht="23.25">
      <c r="B5" s="965" t="s">
        <v>41</v>
      </c>
      <c r="C5" s="965"/>
      <c r="D5" s="965"/>
      <c r="E5" s="965"/>
      <c r="F5" s="965"/>
      <c r="G5" s="965"/>
      <c r="H5" s="965"/>
      <c r="I5" s="965"/>
      <c r="J5" s="965"/>
      <c r="K5" s="965"/>
      <c r="L5" s="965"/>
    </row>
    <row r="8" spans="2:14" ht="18">
      <c r="B8" s="76" t="s">
        <v>1889</v>
      </c>
      <c r="C8" s="105" t="s">
        <v>2264</v>
      </c>
      <c r="L8" s="114"/>
    </row>
    <row r="9" spans="2:14" ht="13.5" thickBot="1"/>
    <row r="10" spans="2:14" ht="13.15" customHeight="1">
      <c r="B10" s="966" t="s">
        <v>1</v>
      </c>
      <c r="C10" s="968" t="s">
        <v>42</v>
      </c>
      <c r="D10" s="970" t="s">
        <v>87</v>
      </c>
      <c r="E10" s="970" t="s">
        <v>43</v>
      </c>
      <c r="F10" s="972"/>
      <c r="G10" s="980" t="s">
        <v>44</v>
      </c>
      <c r="H10" s="981"/>
      <c r="I10" s="981"/>
      <c r="J10" s="981"/>
      <c r="K10" s="982"/>
      <c r="L10" s="279" t="s">
        <v>45</v>
      </c>
    </row>
    <row r="11" spans="2:14" ht="13.5" customHeight="1" thickBot="1">
      <c r="B11" s="967"/>
      <c r="C11" s="969"/>
      <c r="D11" s="971"/>
      <c r="E11" s="971" t="s">
        <v>43</v>
      </c>
      <c r="F11" s="973"/>
      <c r="G11" s="308">
        <v>1</v>
      </c>
      <c r="H11" s="307">
        <v>2</v>
      </c>
      <c r="I11" s="307">
        <v>3</v>
      </c>
      <c r="J11" s="307">
        <v>4</v>
      </c>
      <c r="K11" s="307">
        <v>5</v>
      </c>
      <c r="L11" s="309" t="s">
        <v>46</v>
      </c>
    </row>
    <row r="12" spans="2:14" ht="12.75" customHeight="1">
      <c r="B12" s="974">
        <v>1</v>
      </c>
      <c r="C12" s="975" t="s">
        <v>1484</v>
      </c>
      <c r="D12" s="977">
        <f>RESUMO!F7</f>
        <v>202747.86238281502</v>
      </c>
      <c r="E12" s="958">
        <f>D12/D$94</f>
        <v>7.4028389167562908E-2</v>
      </c>
      <c r="F12" s="77" t="s">
        <v>46</v>
      </c>
      <c r="G12" s="293">
        <f>$D12*G13</f>
        <v>11962.123880586085</v>
      </c>
      <c r="H12" s="294">
        <f>$D12*H13</f>
        <v>23316.004174023728</v>
      </c>
      <c r="I12" s="295">
        <f>$D12*I13</f>
        <v>34264.388742695737</v>
      </c>
      <c r="J12" s="310">
        <f t="shared" ref="J12:K12" si="0">$D12*J13</f>
        <v>68731.525347774295</v>
      </c>
      <c r="K12" s="310">
        <f t="shared" si="0"/>
        <v>64473.820237735177</v>
      </c>
      <c r="L12" s="296">
        <f>SUM(G12:K12)</f>
        <v>202747.86238281502</v>
      </c>
      <c r="N12" s="80"/>
    </row>
    <row r="13" spans="2:14">
      <c r="B13" s="960"/>
      <c r="C13" s="976"/>
      <c r="D13" s="961"/>
      <c r="E13" s="959"/>
      <c r="F13" s="81" t="s">
        <v>47</v>
      </c>
      <c r="G13" s="354">
        <v>5.8999999999999997E-2</v>
      </c>
      <c r="H13" s="355">
        <v>0.115</v>
      </c>
      <c r="I13" s="356">
        <v>0.16900000000000001</v>
      </c>
      <c r="J13" s="355">
        <v>0.33900000000000002</v>
      </c>
      <c r="K13" s="358">
        <v>0.318</v>
      </c>
      <c r="L13" s="357">
        <f>SUM(G13:K13)</f>
        <v>1</v>
      </c>
    </row>
    <row r="14" spans="2:14">
      <c r="B14" s="960">
        <v>2</v>
      </c>
      <c r="C14" s="962" t="s">
        <v>1485</v>
      </c>
      <c r="D14" s="961"/>
      <c r="E14" s="958">
        <f>SUM(E16:E37)</f>
        <v>0.40908907531358318</v>
      </c>
      <c r="F14" s="99"/>
      <c r="G14" s="983" t="s">
        <v>2180</v>
      </c>
      <c r="H14" s="978" t="s">
        <v>2180</v>
      </c>
      <c r="I14" s="978" t="s">
        <v>2180</v>
      </c>
      <c r="J14" s="978" t="s">
        <v>2180</v>
      </c>
      <c r="K14" s="978" t="s">
        <v>2180</v>
      </c>
      <c r="L14" s="985" t="s">
        <v>2180</v>
      </c>
    </row>
    <row r="15" spans="2:14">
      <c r="B15" s="960"/>
      <c r="C15" s="963"/>
      <c r="D15" s="961"/>
      <c r="E15" s="959"/>
      <c r="F15" s="100"/>
      <c r="G15" s="984"/>
      <c r="H15" s="979"/>
      <c r="I15" s="979"/>
      <c r="J15" s="979"/>
      <c r="K15" s="979"/>
      <c r="L15" s="986"/>
    </row>
    <row r="16" spans="2:14" ht="15">
      <c r="B16" s="83" t="s">
        <v>22</v>
      </c>
      <c r="C16" s="85" t="s">
        <v>97</v>
      </c>
      <c r="D16" s="84">
        <f>RESUMO!F8</f>
        <v>95342.346493939549</v>
      </c>
      <c r="E16" s="958">
        <f>D16/D$94</f>
        <v>3.4811909962707582E-2</v>
      </c>
      <c r="F16" s="81" t="s">
        <v>46</v>
      </c>
      <c r="G16" s="78">
        <f>$D16*G17</f>
        <v>95342.346493939549</v>
      </c>
      <c r="H16" s="79">
        <f>$D16*H17</f>
        <v>0</v>
      </c>
      <c r="I16" s="291">
        <f>$D16*I17</f>
        <v>0</v>
      </c>
      <c r="J16" s="287">
        <f t="shared" ref="J16:K16" si="1">$D16*J17</f>
        <v>0</v>
      </c>
      <c r="K16" s="287">
        <f t="shared" si="1"/>
        <v>0</v>
      </c>
      <c r="L16" s="298">
        <f t="shared" ref="L16:L37" si="2">SUM(G16:K16)</f>
        <v>95342.346493939549</v>
      </c>
      <c r="N16" s="80"/>
    </row>
    <row r="17" spans="2:14" ht="15">
      <c r="B17" s="83"/>
      <c r="C17" s="85"/>
      <c r="D17" s="84"/>
      <c r="E17" s="959"/>
      <c r="F17" s="81" t="s">
        <v>47</v>
      </c>
      <c r="G17" s="82">
        <v>1</v>
      </c>
      <c r="H17" s="299"/>
      <c r="I17" s="289"/>
      <c r="J17" s="292">
        <v>0</v>
      </c>
      <c r="K17" s="289">
        <v>0</v>
      </c>
      <c r="L17" s="297">
        <f t="shared" si="2"/>
        <v>1</v>
      </c>
    </row>
    <row r="18" spans="2:14" ht="15">
      <c r="B18" s="83" t="s">
        <v>27</v>
      </c>
      <c r="C18" s="85" t="s">
        <v>99</v>
      </c>
      <c r="D18" s="84">
        <f>RESUMO!F9</f>
        <v>14366.437574697684</v>
      </c>
      <c r="E18" s="958">
        <f>D18/D$94</f>
        <v>5.2455508986977289E-3</v>
      </c>
      <c r="F18" s="81" t="s">
        <v>46</v>
      </c>
      <c r="G18" s="78">
        <f>$D18*G19</f>
        <v>14366.437574697684</v>
      </c>
      <c r="H18" s="79">
        <f>$D18*H19</f>
        <v>0</v>
      </c>
      <c r="I18" s="287">
        <f>$D18*I19</f>
        <v>0</v>
      </c>
      <c r="J18" s="291">
        <f t="shared" ref="J18:K18" si="3">$D18*J19</f>
        <v>0</v>
      </c>
      <c r="K18" s="287">
        <f t="shared" si="3"/>
        <v>0</v>
      </c>
      <c r="L18" s="298">
        <f t="shared" si="2"/>
        <v>14366.437574697684</v>
      </c>
      <c r="N18" s="80"/>
    </row>
    <row r="19" spans="2:14" ht="15">
      <c r="B19" s="83"/>
      <c r="C19" s="85"/>
      <c r="D19" s="84"/>
      <c r="E19" s="959"/>
      <c r="F19" s="81" t="s">
        <v>47</v>
      </c>
      <c r="G19" s="82">
        <v>1</v>
      </c>
      <c r="H19" s="299">
        <v>0</v>
      </c>
      <c r="I19" s="289">
        <v>0</v>
      </c>
      <c r="J19" s="292">
        <v>0</v>
      </c>
      <c r="K19" s="289">
        <v>0</v>
      </c>
      <c r="L19" s="297">
        <f t="shared" si="2"/>
        <v>1</v>
      </c>
    </row>
    <row r="20" spans="2:14" ht="15">
      <c r="B20" s="83" t="s">
        <v>28</v>
      </c>
      <c r="C20" s="85" t="s">
        <v>100</v>
      </c>
      <c r="D20" s="84">
        <f>RESUMO!F10</f>
        <v>5739.616010995851</v>
      </c>
      <c r="E20" s="958">
        <f>D20/D$94</f>
        <v>2.095679445103684E-3</v>
      </c>
      <c r="F20" s="81" t="s">
        <v>46</v>
      </c>
      <c r="G20" s="78">
        <f>$D20*G21</f>
        <v>5739.616010995851</v>
      </c>
      <c r="H20" s="79">
        <f>$D20*H21</f>
        <v>0</v>
      </c>
      <c r="I20" s="287">
        <f>$D20*I21</f>
        <v>0</v>
      </c>
      <c r="J20" s="291">
        <f t="shared" ref="J20:K20" si="4">$D20*J21</f>
        <v>0</v>
      </c>
      <c r="K20" s="287">
        <f t="shared" si="4"/>
        <v>0</v>
      </c>
      <c r="L20" s="298">
        <f t="shared" si="2"/>
        <v>5739.616010995851</v>
      </c>
      <c r="N20" s="80"/>
    </row>
    <row r="21" spans="2:14" ht="15">
      <c r="B21" s="83"/>
      <c r="C21" s="85"/>
      <c r="D21" s="84"/>
      <c r="E21" s="959"/>
      <c r="F21" s="81" t="s">
        <v>47</v>
      </c>
      <c r="G21" s="82">
        <v>1</v>
      </c>
      <c r="H21" s="299">
        <v>0</v>
      </c>
      <c r="I21" s="289">
        <v>0</v>
      </c>
      <c r="J21" s="292">
        <v>0</v>
      </c>
      <c r="K21" s="289">
        <v>0</v>
      </c>
      <c r="L21" s="297">
        <f t="shared" si="2"/>
        <v>1</v>
      </c>
    </row>
    <row r="22" spans="2:14" ht="15">
      <c r="B22" s="83" t="s">
        <v>29</v>
      </c>
      <c r="C22" s="85" t="s">
        <v>337</v>
      </c>
      <c r="D22" s="84">
        <f>RESUMO!F11</f>
        <v>514480.93150148203</v>
      </c>
      <c r="E22" s="958">
        <f>D22/D$94</f>
        <v>0.18785004275196832</v>
      </c>
      <c r="F22" s="81" t="s">
        <v>46</v>
      </c>
      <c r="G22" s="78">
        <f>$D22*G23</f>
        <v>0</v>
      </c>
      <c r="H22" s="79">
        <f>$D22*H23</f>
        <v>0</v>
      </c>
      <c r="I22" s="287">
        <f>$D22*I23</f>
        <v>0</v>
      </c>
      <c r="J22" s="291">
        <f>$D22*J23</f>
        <v>0</v>
      </c>
      <c r="K22" s="291">
        <f>$D22*K23</f>
        <v>514480.93150148203</v>
      </c>
      <c r="L22" s="298">
        <f t="shared" si="2"/>
        <v>514480.93150148203</v>
      </c>
      <c r="N22" s="80"/>
    </row>
    <row r="23" spans="2:14" ht="15">
      <c r="B23" s="83"/>
      <c r="C23" s="85"/>
      <c r="D23" s="84"/>
      <c r="E23" s="959"/>
      <c r="F23" s="81" t="s">
        <v>47</v>
      </c>
      <c r="G23" s="82"/>
      <c r="H23" s="299">
        <v>0</v>
      </c>
      <c r="I23" s="289">
        <v>0</v>
      </c>
      <c r="J23" s="292">
        <v>0</v>
      </c>
      <c r="K23" s="289">
        <v>1</v>
      </c>
      <c r="L23" s="297">
        <f t="shared" si="2"/>
        <v>1</v>
      </c>
    </row>
    <row r="24" spans="2:14" ht="15">
      <c r="B24" s="83" t="s">
        <v>17</v>
      </c>
      <c r="C24" s="85" t="s">
        <v>102</v>
      </c>
      <c r="D24" s="84">
        <f>RESUMO!F12</f>
        <v>114511.25099996556</v>
      </c>
      <c r="E24" s="958">
        <f>D24/D$94</f>
        <v>4.1810963397897943E-2</v>
      </c>
      <c r="F24" s="81" t="s">
        <v>46</v>
      </c>
      <c r="G24" s="78">
        <f>$D24*G25</f>
        <v>0</v>
      </c>
      <c r="H24" s="79">
        <f>$D24*H25</f>
        <v>0</v>
      </c>
      <c r="I24" s="287">
        <f>$D24*I25</f>
        <v>0</v>
      </c>
      <c r="J24" s="291">
        <f>$D24*J25</f>
        <v>114511.25099996556</v>
      </c>
      <c r="K24" s="291">
        <f>$D24*K25</f>
        <v>0</v>
      </c>
      <c r="L24" s="298">
        <f t="shared" si="2"/>
        <v>114511.25099996556</v>
      </c>
      <c r="N24" s="80"/>
    </row>
    <row r="25" spans="2:14" ht="15">
      <c r="B25" s="83"/>
      <c r="C25" s="85"/>
      <c r="D25" s="84"/>
      <c r="E25" s="959"/>
      <c r="F25" s="81" t="s">
        <v>47</v>
      </c>
      <c r="G25" s="82"/>
      <c r="H25" s="299">
        <v>0</v>
      </c>
      <c r="I25" s="289">
        <v>0</v>
      </c>
      <c r="J25" s="292">
        <v>1</v>
      </c>
      <c r="K25" s="289">
        <v>0</v>
      </c>
      <c r="L25" s="297">
        <f t="shared" si="2"/>
        <v>1</v>
      </c>
    </row>
    <row r="26" spans="2:14" ht="15">
      <c r="B26" s="83" t="s">
        <v>351</v>
      </c>
      <c r="C26" s="85" t="s">
        <v>12</v>
      </c>
      <c r="D26" s="84">
        <f>RESUMO!F13</f>
        <v>240880.97615618183</v>
      </c>
      <c r="E26" s="958">
        <f>D26/D$94</f>
        <v>8.7951756612274501E-2</v>
      </c>
      <c r="F26" s="81" t="s">
        <v>46</v>
      </c>
      <c r="G26" s="78">
        <f>$D26*G27</f>
        <v>0</v>
      </c>
      <c r="H26" s="79">
        <f>$D26*H27</f>
        <v>240880.97615618183</v>
      </c>
      <c r="I26" s="287">
        <f>$D26*I27</f>
        <v>0</v>
      </c>
      <c r="J26" s="291">
        <f t="shared" ref="J26:K26" si="5">$D26*J27</f>
        <v>0</v>
      </c>
      <c r="K26" s="287">
        <f t="shared" si="5"/>
        <v>0</v>
      </c>
      <c r="L26" s="298">
        <f t="shared" si="2"/>
        <v>240880.97615618183</v>
      </c>
      <c r="N26" s="80"/>
    </row>
    <row r="27" spans="2:14" ht="15">
      <c r="B27" s="83"/>
      <c r="C27" s="85"/>
      <c r="D27" s="84"/>
      <c r="E27" s="959"/>
      <c r="F27" s="81" t="s">
        <v>47</v>
      </c>
      <c r="G27" s="82">
        <v>0</v>
      </c>
      <c r="H27" s="299">
        <v>1</v>
      </c>
      <c r="I27" s="289">
        <v>0</v>
      </c>
      <c r="J27" s="292">
        <v>0</v>
      </c>
      <c r="K27" s="289">
        <v>0</v>
      </c>
      <c r="L27" s="297">
        <f t="shared" si="2"/>
        <v>1</v>
      </c>
    </row>
    <row r="28" spans="2:14" ht="15">
      <c r="B28" s="83" t="s">
        <v>355</v>
      </c>
      <c r="C28" s="85" t="s">
        <v>104</v>
      </c>
      <c r="D28" s="84">
        <f>RESUMO!F14</f>
        <v>16171.674051001079</v>
      </c>
      <c r="E28" s="958">
        <f>D28/D$94</f>
        <v>5.9046885430440845E-3</v>
      </c>
      <c r="F28" s="81" t="s">
        <v>46</v>
      </c>
      <c r="G28" s="78">
        <f>$D28*G29</f>
        <v>0</v>
      </c>
      <c r="H28" s="79">
        <f>$D28*H29</f>
        <v>16171.674051001079</v>
      </c>
      <c r="I28" s="287">
        <f>$D28*I29</f>
        <v>0</v>
      </c>
      <c r="J28" s="291">
        <f t="shared" ref="J28:K28" si="6">$D28*J29</f>
        <v>0</v>
      </c>
      <c r="K28" s="287">
        <f t="shared" si="6"/>
        <v>0</v>
      </c>
      <c r="L28" s="298">
        <f t="shared" si="2"/>
        <v>16171.674051001079</v>
      </c>
      <c r="N28" s="80"/>
    </row>
    <row r="29" spans="2:14" ht="15">
      <c r="B29" s="83"/>
      <c r="C29" s="85"/>
      <c r="D29" s="84"/>
      <c r="E29" s="959"/>
      <c r="F29" s="81" t="s">
        <v>47</v>
      </c>
      <c r="G29" s="82"/>
      <c r="H29" s="299">
        <v>1</v>
      </c>
      <c r="I29" s="289">
        <v>0</v>
      </c>
      <c r="J29" s="292">
        <v>0</v>
      </c>
      <c r="K29" s="289">
        <v>0</v>
      </c>
      <c r="L29" s="297">
        <f t="shared" si="2"/>
        <v>1</v>
      </c>
    </row>
    <row r="30" spans="2:14" ht="15">
      <c r="B30" s="83" t="s">
        <v>358</v>
      </c>
      <c r="C30" s="85" t="s">
        <v>106</v>
      </c>
      <c r="D30" s="84">
        <f>RESUMO!F15</f>
        <v>47668.511752771563</v>
      </c>
      <c r="E30" s="958">
        <f>D30/D$94</f>
        <v>1.7404983202288123E-2</v>
      </c>
      <c r="F30" s="81" t="s">
        <v>46</v>
      </c>
      <c r="G30" s="78">
        <f>$D30*G31</f>
        <v>0</v>
      </c>
      <c r="H30" s="79">
        <f>$D30*H31</f>
        <v>0</v>
      </c>
      <c r="I30" s="287">
        <f>$D30*I31</f>
        <v>0</v>
      </c>
      <c r="J30" s="291">
        <f t="shared" ref="J30:K30" si="7">$D30*J31</f>
        <v>0</v>
      </c>
      <c r="K30" s="287">
        <f t="shared" si="7"/>
        <v>47668.511752771563</v>
      </c>
      <c r="L30" s="298">
        <f t="shared" si="2"/>
        <v>47668.511752771563</v>
      </c>
      <c r="N30" s="80"/>
    </row>
    <row r="31" spans="2:14" ht="15">
      <c r="B31" s="83"/>
      <c r="C31" s="85"/>
      <c r="D31" s="84"/>
      <c r="E31" s="959"/>
      <c r="F31" s="81" t="s">
        <v>47</v>
      </c>
      <c r="G31" s="82">
        <v>0</v>
      </c>
      <c r="H31" s="299">
        <v>0</v>
      </c>
      <c r="I31" s="289">
        <v>0</v>
      </c>
      <c r="J31" s="292">
        <v>0</v>
      </c>
      <c r="K31" s="289">
        <v>1</v>
      </c>
      <c r="L31" s="297">
        <f t="shared" si="2"/>
        <v>1</v>
      </c>
    </row>
    <row r="32" spans="2:14" ht="15">
      <c r="B32" s="83" t="s">
        <v>363</v>
      </c>
      <c r="C32" s="85" t="s">
        <v>110</v>
      </c>
      <c r="D32" s="84">
        <f>RESUMO!F16</f>
        <v>34778.045509345378</v>
      </c>
      <c r="E32" s="958">
        <f>D32/D$94</f>
        <v>1.2698346888569979E-2</v>
      </c>
      <c r="F32" s="81" t="s">
        <v>46</v>
      </c>
      <c r="G32" s="78">
        <f>$D32*G33</f>
        <v>0</v>
      </c>
      <c r="H32" s="79">
        <f>$D32*H33</f>
        <v>0</v>
      </c>
      <c r="I32" s="287">
        <f>$D32*I33</f>
        <v>34778.045509345378</v>
      </c>
      <c r="J32" s="291">
        <f t="shared" ref="J32:K32" si="8">$D32*J33</f>
        <v>0</v>
      </c>
      <c r="K32" s="287">
        <f t="shared" si="8"/>
        <v>0</v>
      </c>
      <c r="L32" s="298">
        <f t="shared" si="2"/>
        <v>34778.045509345378</v>
      </c>
      <c r="N32" s="80"/>
    </row>
    <row r="33" spans="2:14" ht="15">
      <c r="B33" s="83"/>
      <c r="C33" s="85"/>
      <c r="D33" s="84"/>
      <c r="E33" s="959"/>
      <c r="F33" s="81" t="s">
        <v>47</v>
      </c>
      <c r="G33" s="82"/>
      <c r="H33" s="299">
        <v>0</v>
      </c>
      <c r="I33" s="289">
        <v>1</v>
      </c>
      <c r="J33" s="292">
        <v>0</v>
      </c>
      <c r="K33" s="289">
        <v>0</v>
      </c>
      <c r="L33" s="297">
        <f t="shared" si="2"/>
        <v>1</v>
      </c>
    </row>
    <row r="34" spans="2:14" ht="15">
      <c r="B34" s="83" t="s">
        <v>369</v>
      </c>
      <c r="C34" s="85" t="s">
        <v>1486</v>
      </c>
      <c r="D34" s="84">
        <f>RESUMO!F17</f>
        <v>33890.509671533058</v>
      </c>
      <c r="E34" s="958">
        <f>D34/D$94</f>
        <v>1.2374285033468031E-2</v>
      </c>
      <c r="F34" s="81" t="s">
        <v>46</v>
      </c>
      <c r="G34" s="78">
        <f>$D34*G35</f>
        <v>0</v>
      </c>
      <c r="H34" s="79">
        <f>$D34*H35</f>
        <v>33890.509671533058</v>
      </c>
      <c r="I34" s="287">
        <f>$D34*I35</f>
        <v>0</v>
      </c>
      <c r="J34" s="291">
        <f t="shared" ref="J34:K34" si="9">$D34*J35</f>
        <v>0</v>
      </c>
      <c r="K34" s="287">
        <f t="shared" si="9"/>
        <v>0</v>
      </c>
      <c r="L34" s="298">
        <f t="shared" si="2"/>
        <v>33890.509671533058</v>
      </c>
      <c r="N34" s="80"/>
    </row>
    <row r="35" spans="2:14" ht="15">
      <c r="B35" s="83"/>
      <c r="C35" s="86"/>
      <c r="D35" s="84"/>
      <c r="E35" s="959"/>
      <c r="F35" s="81" t="s">
        <v>47</v>
      </c>
      <c r="G35" s="82">
        <v>0</v>
      </c>
      <c r="H35" s="299">
        <v>1</v>
      </c>
      <c r="I35" s="289">
        <v>0</v>
      </c>
      <c r="J35" s="292">
        <v>0</v>
      </c>
      <c r="K35" s="289">
        <v>0</v>
      </c>
      <c r="L35" s="297">
        <f t="shared" si="2"/>
        <v>1</v>
      </c>
    </row>
    <row r="36" spans="2:14" ht="15">
      <c r="B36" s="83" t="s">
        <v>1108</v>
      </c>
      <c r="C36" s="86" t="s">
        <v>1109</v>
      </c>
      <c r="D36" s="84">
        <f>RESUMO!F18</f>
        <v>2576.8370084659655</v>
      </c>
      <c r="E36" s="958">
        <f>D36/D$94</f>
        <v>9.4086857756319267E-4</v>
      </c>
      <c r="F36" s="81" t="s">
        <v>46</v>
      </c>
      <c r="G36" s="78">
        <f>$D36*G37</f>
        <v>0</v>
      </c>
      <c r="H36" s="79">
        <f>$D36*H37</f>
        <v>2576.8370084659655</v>
      </c>
      <c r="I36" s="291">
        <f>$D36*I37</f>
        <v>0</v>
      </c>
      <c r="J36" s="291">
        <f>$D36*J37</f>
        <v>0</v>
      </c>
      <c r="K36" s="291">
        <f>$D36*K37</f>
        <v>0</v>
      </c>
      <c r="L36" s="298">
        <f t="shared" si="2"/>
        <v>2576.8370084659655</v>
      </c>
    </row>
    <row r="37" spans="2:14" ht="15">
      <c r="B37" s="83"/>
      <c r="C37" s="43"/>
      <c r="D37" s="84"/>
      <c r="E37" s="959"/>
      <c r="F37" s="81" t="s">
        <v>47</v>
      </c>
      <c r="G37" s="101">
        <v>0</v>
      </c>
      <c r="H37" s="102">
        <v>1</v>
      </c>
      <c r="I37" s="290">
        <v>0</v>
      </c>
      <c r="J37" s="292">
        <v>0</v>
      </c>
      <c r="K37" s="290">
        <v>0</v>
      </c>
      <c r="L37" s="297">
        <f t="shared" si="2"/>
        <v>1</v>
      </c>
    </row>
    <row r="38" spans="2:14">
      <c r="B38" s="960">
        <v>3</v>
      </c>
      <c r="C38" s="962" t="s">
        <v>1491</v>
      </c>
      <c r="D38" s="961"/>
      <c r="E38" s="958">
        <f>SUM(E40:E47)</f>
        <v>7.1563720094695013E-2</v>
      </c>
      <c r="F38" s="99"/>
      <c r="G38" s="983" t="s">
        <v>2180</v>
      </c>
      <c r="H38" s="978" t="s">
        <v>2180</v>
      </c>
      <c r="I38" s="978" t="s">
        <v>2180</v>
      </c>
      <c r="J38" s="978" t="s">
        <v>2180</v>
      </c>
      <c r="K38" s="978" t="s">
        <v>2180</v>
      </c>
      <c r="L38" s="985" t="s">
        <v>2180</v>
      </c>
      <c r="N38" s="80"/>
    </row>
    <row r="39" spans="2:14">
      <c r="B39" s="960"/>
      <c r="C39" s="963"/>
      <c r="D39" s="961"/>
      <c r="E39" s="959"/>
      <c r="F39" s="98"/>
      <c r="G39" s="984"/>
      <c r="H39" s="979"/>
      <c r="I39" s="979"/>
      <c r="J39" s="979"/>
      <c r="K39" s="979"/>
      <c r="L39" s="986"/>
    </row>
    <row r="40" spans="2:14" ht="15">
      <c r="B40" s="83" t="s">
        <v>19</v>
      </c>
      <c r="C40" s="85" t="s">
        <v>132</v>
      </c>
      <c r="D40" s="84">
        <f>RESUMO!F19</f>
        <v>6835.0798521775068</v>
      </c>
      <c r="E40" s="958">
        <f>D40/D$94</f>
        <v>2.4956610902905022E-3</v>
      </c>
      <c r="F40" s="81" t="s">
        <v>46</v>
      </c>
      <c r="G40" s="78">
        <f>$D40*G41</f>
        <v>0</v>
      </c>
      <c r="H40" s="79">
        <f>$D40*H41</f>
        <v>0</v>
      </c>
      <c r="I40" s="287">
        <f>$D40*I41</f>
        <v>0</v>
      </c>
      <c r="J40" s="291">
        <f t="shared" ref="J40:K40" si="10">$D40*J41</f>
        <v>6835.0798521775068</v>
      </c>
      <c r="K40" s="287">
        <f t="shared" si="10"/>
        <v>0</v>
      </c>
      <c r="L40" s="298">
        <f t="shared" ref="L40:L49" si="11">SUM(G40:K40)</f>
        <v>6835.0798521775068</v>
      </c>
      <c r="N40" s="80"/>
    </row>
    <row r="41" spans="2:14" ht="15">
      <c r="B41" s="83"/>
      <c r="C41" s="85"/>
      <c r="D41" s="84"/>
      <c r="E41" s="959"/>
      <c r="F41" s="81" t="s">
        <v>47</v>
      </c>
      <c r="G41" s="82">
        <v>0</v>
      </c>
      <c r="H41" s="292">
        <v>0</v>
      </c>
      <c r="I41" s="288">
        <v>0</v>
      </c>
      <c r="J41" s="292">
        <v>1</v>
      </c>
      <c r="K41" s="289">
        <v>0</v>
      </c>
      <c r="L41" s="297">
        <f t="shared" si="11"/>
        <v>1</v>
      </c>
    </row>
    <row r="42" spans="2:14" ht="15">
      <c r="B42" s="83" t="s">
        <v>21</v>
      </c>
      <c r="C42" s="85" t="s">
        <v>1492</v>
      </c>
      <c r="D42" s="84">
        <f>RESUMO!F20</f>
        <v>9519.7188347905831</v>
      </c>
      <c r="E42" s="958">
        <f>D42/D$94</f>
        <v>3.4758909040285345E-3</v>
      </c>
      <c r="F42" s="81" t="s">
        <v>46</v>
      </c>
      <c r="G42" s="78">
        <f>$D42*G43</f>
        <v>0</v>
      </c>
      <c r="H42" s="79">
        <f>$D42*H43</f>
        <v>0</v>
      </c>
      <c r="I42" s="287">
        <f>$D42*I43</f>
        <v>9519.7188347905831</v>
      </c>
      <c r="J42" s="291">
        <f t="shared" ref="J42:K42" si="12">$D42*J43</f>
        <v>0</v>
      </c>
      <c r="K42" s="287">
        <f t="shared" si="12"/>
        <v>0</v>
      </c>
      <c r="L42" s="298">
        <f t="shared" si="11"/>
        <v>9519.7188347905831</v>
      </c>
    </row>
    <row r="43" spans="2:14" ht="15">
      <c r="B43" s="83"/>
      <c r="C43" s="85"/>
      <c r="D43" s="84"/>
      <c r="E43" s="959"/>
      <c r="F43" s="81" t="s">
        <v>47</v>
      </c>
      <c r="G43" s="101">
        <v>0</v>
      </c>
      <c r="H43" s="292">
        <v>0</v>
      </c>
      <c r="I43" s="288">
        <v>1</v>
      </c>
      <c r="J43" s="292">
        <v>0</v>
      </c>
      <c r="K43" s="289">
        <v>0</v>
      </c>
      <c r="L43" s="297">
        <f t="shared" si="11"/>
        <v>1</v>
      </c>
    </row>
    <row r="44" spans="2:14" ht="15">
      <c r="B44" s="83" t="s">
        <v>134</v>
      </c>
      <c r="C44" s="85" t="s">
        <v>1493</v>
      </c>
      <c r="D44" s="84">
        <f>RESUMO!F21</f>
        <v>114397.10716120567</v>
      </c>
      <c r="E44" s="958">
        <f>D44/D$94</f>
        <v>4.1769286586031774E-2</v>
      </c>
      <c r="F44" s="81" t="s">
        <v>46</v>
      </c>
      <c r="G44" s="78">
        <f>$D44*G45</f>
        <v>0</v>
      </c>
      <c r="H44" s="79">
        <f>$D44*H45</f>
        <v>0</v>
      </c>
      <c r="I44" s="287">
        <f>$D44*I45</f>
        <v>114397.10716120567</v>
      </c>
      <c r="J44" s="291">
        <f t="shared" ref="J44:K44" si="13">$D44*J45</f>
        <v>0</v>
      </c>
      <c r="K44" s="287">
        <f t="shared" si="13"/>
        <v>0</v>
      </c>
      <c r="L44" s="298">
        <f t="shared" si="11"/>
        <v>114397.10716120567</v>
      </c>
      <c r="N44" s="80"/>
    </row>
    <row r="45" spans="2:14" ht="15">
      <c r="B45" s="83"/>
      <c r="C45" s="85"/>
      <c r="D45" s="84"/>
      <c r="E45" s="959"/>
      <c r="F45" s="81" t="s">
        <v>47</v>
      </c>
      <c r="G45" s="82">
        <v>0</v>
      </c>
      <c r="H45" s="292">
        <v>0</v>
      </c>
      <c r="I45" s="288">
        <v>1</v>
      </c>
      <c r="J45" s="292">
        <v>0</v>
      </c>
      <c r="K45" s="289">
        <v>0</v>
      </c>
      <c r="L45" s="297">
        <f t="shared" si="11"/>
        <v>1</v>
      </c>
    </row>
    <row r="46" spans="2:14" ht="15">
      <c r="B46" s="83" t="s">
        <v>862</v>
      </c>
      <c r="C46" s="85" t="s">
        <v>135</v>
      </c>
      <c r="D46" s="84">
        <f>RESUMO!F22</f>
        <v>65245.757163506532</v>
      </c>
      <c r="E46" s="958">
        <f>D46/D$94</f>
        <v>2.3822881514344207E-2</v>
      </c>
      <c r="F46" s="81" t="s">
        <v>46</v>
      </c>
      <c r="G46" s="78">
        <f>$D46*G47</f>
        <v>0</v>
      </c>
      <c r="H46" s="79">
        <f>$D46*H47</f>
        <v>0</v>
      </c>
      <c r="I46" s="291">
        <f>$D46*I47</f>
        <v>65245.757163506532</v>
      </c>
      <c r="J46" s="291">
        <f t="shared" ref="J46:K46" si="14">$D46*J47</f>
        <v>0</v>
      </c>
      <c r="K46" s="287">
        <f t="shared" si="14"/>
        <v>0</v>
      </c>
      <c r="L46" s="298">
        <f t="shared" si="11"/>
        <v>65245.757163506532</v>
      </c>
      <c r="N46" s="80"/>
    </row>
    <row r="47" spans="2:14" ht="15">
      <c r="B47" s="83"/>
      <c r="C47" s="86"/>
      <c r="D47" s="84"/>
      <c r="E47" s="959"/>
      <c r="F47" s="81" t="s">
        <v>47</v>
      </c>
      <c r="G47" s="82">
        <v>0</v>
      </c>
      <c r="H47" s="292">
        <v>0</v>
      </c>
      <c r="I47" s="288">
        <v>1</v>
      </c>
      <c r="J47" s="292">
        <v>0</v>
      </c>
      <c r="K47" s="289">
        <v>0</v>
      </c>
      <c r="L47" s="297">
        <f t="shared" si="11"/>
        <v>1</v>
      </c>
    </row>
    <row r="48" spans="2:14">
      <c r="B48" s="960">
        <v>4</v>
      </c>
      <c r="C48" s="962" t="s">
        <v>1487</v>
      </c>
      <c r="D48" s="961">
        <f>RESUMO!F23</f>
        <v>50030.463532416623</v>
      </c>
      <c r="E48" s="958">
        <f>D48/D$94</f>
        <v>1.8267391730218442E-2</v>
      </c>
      <c r="F48" s="81" t="s">
        <v>46</v>
      </c>
      <c r="G48" s="78">
        <f>$D48*G49</f>
        <v>50030.463532416623</v>
      </c>
      <c r="H48" s="79">
        <f>$D48*H49</f>
        <v>0</v>
      </c>
      <c r="I48" s="291">
        <f>$D48*I49</f>
        <v>0</v>
      </c>
      <c r="J48" s="287">
        <f t="shared" ref="J48:K48" si="15">$D48*J49</f>
        <v>0</v>
      </c>
      <c r="K48" s="287">
        <f t="shared" si="15"/>
        <v>0</v>
      </c>
      <c r="L48" s="298">
        <f t="shared" si="11"/>
        <v>50030.463532416623</v>
      </c>
      <c r="N48" s="80"/>
    </row>
    <row r="49" spans="2:14">
      <c r="B49" s="960"/>
      <c r="C49" s="963"/>
      <c r="D49" s="961"/>
      <c r="E49" s="959"/>
      <c r="F49" s="81" t="s">
        <v>47</v>
      </c>
      <c r="G49" s="82">
        <v>1</v>
      </c>
      <c r="H49" s="292">
        <v>0</v>
      </c>
      <c r="I49" s="288">
        <v>0</v>
      </c>
      <c r="J49" s="292">
        <v>0</v>
      </c>
      <c r="K49" s="289">
        <v>0</v>
      </c>
      <c r="L49" s="297">
        <f t="shared" si="11"/>
        <v>1</v>
      </c>
    </row>
    <row r="50" spans="2:14">
      <c r="B50" s="960">
        <v>5</v>
      </c>
      <c r="C50" s="962" t="s">
        <v>1488</v>
      </c>
      <c r="D50" s="961"/>
      <c r="E50" s="958">
        <f>SUM(E52:E65)</f>
        <v>0.20567986040561037</v>
      </c>
      <c r="F50" s="99"/>
      <c r="G50" s="983" t="s">
        <v>2180</v>
      </c>
      <c r="H50" s="978" t="s">
        <v>2180</v>
      </c>
      <c r="I50" s="978" t="s">
        <v>2180</v>
      </c>
      <c r="J50" s="978" t="s">
        <v>2180</v>
      </c>
      <c r="K50" s="978" t="s">
        <v>2180</v>
      </c>
      <c r="L50" s="985" t="s">
        <v>2180</v>
      </c>
      <c r="N50" s="80"/>
    </row>
    <row r="51" spans="2:14">
      <c r="B51" s="960"/>
      <c r="C51" s="963"/>
      <c r="D51" s="961"/>
      <c r="E51" s="959"/>
      <c r="F51" s="98"/>
      <c r="G51" s="984"/>
      <c r="H51" s="979"/>
      <c r="I51" s="979"/>
      <c r="J51" s="979"/>
      <c r="K51" s="979"/>
      <c r="L51" s="986"/>
    </row>
    <row r="52" spans="2:14" ht="15">
      <c r="B52" s="83" t="s">
        <v>189</v>
      </c>
      <c r="C52" s="85" t="s">
        <v>40</v>
      </c>
      <c r="D52" s="84">
        <f>RESUMO!F24</f>
        <v>230565.98021046093</v>
      </c>
      <c r="E52" s="958">
        <f>D52/D$94</f>
        <v>8.4185489855341314E-2</v>
      </c>
      <c r="F52" s="81" t="s">
        <v>46</v>
      </c>
      <c r="G52" s="78">
        <f>$D52*G53</f>
        <v>0</v>
      </c>
      <c r="H52" s="79">
        <f>$D52*H53</f>
        <v>0</v>
      </c>
      <c r="I52" s="287">
        <f>$D52*I53</f>
        <v>184452.78416836876</v>
      </c>
      <c r="J52" s="291">
        <f t="shared" ref="J52:K52" si="16">$D52*J53</f>
        <v>0</v>
      </c>
      <c r="K52" s="287">
        <f t="shared" si="16"/>
        <v>46113.19604209219</v>
      </c>
      <c r="L52" s="298">
        <f t="shared" ref="L52:L67" si="17">SUM(G52:K52)</f>
        <v>230565.98021046096</v>
      </c>
      <c r="N52" s="80"/>
    </row>
    <row r="53" spans="2:14" ht="15">
      <c r="B53" s="83"/>
      <c r="C53" s="85"/>
      <c r="D53" s="84"/>
      <c r="E53" s="959"/>
      <c r="F53" s="81" t="s">
        <v>47</v>
      </c>
      <c r="G53" s="82">
        <v>0</v>
      </c>
      <c r="H53" s="292">
        <v>0</v>
      </c>
      <c r="I53" s="288">
        <v>0.8</v>
      </c>
      <c r="J53" s="292">
        <v>0</v>
      </c>
      <c r="K53" s="289">
        <v>0.2</v>
      </c>
      <c r="L53" s="297">
        <f t="shared" si="17"/>
        <v>1</v>
      </c>
    </row>
    <row r="54" spans="2:14" ht="15">
      <c r="B54" s="83" t="s">
        <v>190</v>
      </c>
      <c r="C54" s="85" t="s">
        <v>20</v>
      </c>
      <c r="D54" s="84">
        <f>RESUMO!F25</f>
        <v>42105.108339162834</v>
      </c>
      <c r="E54" s="958">
        <f>D54/D$94</f>
        <v>1.5373643447784831E-2</v>
      </c>
      <c r="F54" s="81" t="s">
        <v>46</v>
      </c>
      <c r="G54" s="78">
        <f>$D54*G55</f>
        <v>0</v>
      </c>
      <c r="H54" s="79">
        <f>$D54*H55</f>
        <v>0</v>
      </c>
      <c r="I54" s="287">
        <f>$D54*I55</f>
        <v>0</v>
      </c>
      <c r="J54" s="291">
        <f t="shared" ref="J54:K54" si="18">$D54*J55</f>
        <v>42105.108339162834</v>
      </c>
      <c r="K54" s="287">
        <f t="shared" si="18"/>
        <v>0</v>
      </c>
      <c r="L54" s="298">
        <f t="shared" si="17"/>
        <v>42105.108339162834</v>
      </c>
      <c r="N54" s="80"/>
    </row>
    <row r="55" spans="2:14" ht="15">
      <c r="B55" s="83"/>
      <c r="C55" s="85"/>
      <c r="D55" s="84"/>
      <c r="E55" s="959"/>
      <c r="F55" s="81" t="s">
        <v>47</v>
      </c>
      <c r="G55" s="82">
        <v>0</v>
      </c>
      <c r="H55" s="292">
        <v>0</v>
      </c>
      <c r="I55" s="288">
        <v>0</v>
      </c>
      <c r="J55" s="292">
        <v>1</v>
      </c>
      <c r="K55" s="289">
        <v>0</v>
      </c>
      <c r="L55" s="297">
        <f t="shared" si="17"/>
        <v>1</v>
      </c>
    </row>
    <row r="56" spans="2:14" ht="15">
      <c r="B56" s="83" t="s">
        <v>191</v>
      </c>
      <c r="C56" s="85" t="s">
        <v>144</v>
      </c>
      <c r="D56" s="84">
        <f>RESUMO!F26</f>
        <v>43261.168403291173</v>
      </c>
      <c r="E56" s="958">
        <f>D56/D$94</f>
        <v>1.5795750311564147E-2</v>
      </c>
      <c r="F56" s="81" t="s">
        <v>46</v>
      </c>
      <c r="G56" s="78">
        <f>$D56*G57</f>
        <v>0</v>
      </c>
      <c r="H56" s="79">
        <f>$D56*H57</f>
        <v>0</v>
      </c>
      <c r="I56" s="287">
        <f>$D56*I57</f>
        <v>0</v>
      </c>
      <c r="J56" s="291">
        <f t="shared" ref="J56:K56" si="19">$D56*J57</f>
        <v>43261.168403291173</v>
      </c>
      <c r="K56" s="287">
        <f t="shared" si="19"/>
        <v>0</v>
      </c>
      <c r="L56" s="298">
        <f t="shared" si="17"/>
        <v>43261.168403291173</v>
      </c>
      <c r="N56" s="80"/>
    </row>
    <row r="57" spans="2:14" ht="15">
      <c r="B57" s="83"/>
      <c r="C57" s="85"/>
      <c r="D57" s="84"/>
      <c r="E57" s="959"/>
      <c r="F57" s="81" t="s">
        <v>47</v>
      </c>
      <c r="G57" s="82">
        <v>0</v>
      </c>
      <c r="H57" s="292">
        <v>0</v>
      </c>
      <c r="I57" s="288">
        <v>0</v>
      </c>
      <c r="J57" s="292">
        <v>1</v>
      </c>
      <c r="K57" s="289">
        <v>0</v>
      </c>
      <c r="L57" s="297">
        <f t="shared" si="17"/>
        <v>1</v>
      </c>
    </row>
    <row r="58" spans="2:14" ht="15">
      <c r="B58" s="83" t="s">
        <v>192</v>
      </c>
      <c r="C58" s="85" t="s">
        <v>141</v>
      </c>
      <c r="D58" s="84">
        <f>RESUMO!F27</f>
        <v>82219.916796618068</v>
      </c>
      <c r="E58" s="958">
        <f>D58/D$94</f>
        <v>3.0020577906031663E-2</v>
      </c>
      <c r="F58" s="81" t="s">
        <v>46</v>
      </c>
      <c r="G58" s="78">
        <f>$D58*G59</f>
        <v>0</v>
      </c>
      <c r="H58" s="79">
        <f>$D58*H59</f>
        <v>0</v>
      </c>
      <c r="I58" s="287">
        <f>$D58*I59</f>
        <v>0</v>
      </c>
      <c r="J58" s="291">
        <f t="shared" ref="J58:K58" si="20">$D58*J59</f>
        <v>82219.916796618068</v>
      </c>
      <c r="K58" s="287">
        <f t="shared" si="20"/>
        <v>0</v>
      </c>
      <c r="L58" s="298">
        <f t="shared" si="17"/>
        <v>82219.916796618068</v>
      </c>
      <c r="N58" s="80"/>
    </row>
    <row r="59" spans="2:14" ht="15">
      <c r="B59" s="83"/>
      <c r="C59" s="85"/>
      <c r="D59" s="84"/>
      <c r="E59" s="959"/>
      <c r="F59" s="81" t="s">
        <v>47</v>
      </c>
      <c r="G59" s="82">
        <v>0</v>
      </c>
      <c r="H59" s="292">
        <v>0</v>
      </c>
      <c r="I59" s="288">
        <v>0</v>
      </c>
      <c r="J59" s="292">
        <v>1</v>
      </c>
      <c r="K59" s="289">
        <v>0</v>
      </c>
      <c r="L59" s="297">
        <f t="shared" si="17"/>
        <v>1</v>
      </c>
    </row>
    <row r="60" spans="2:14" ht="15">
      <c r="B60" s="83" t="s">
        <v>193</v>
      </c>
      <c r="C60" s="85" t="s">
        <v>142</v>
      </c>
      <c r="D60" s="84">
        <f>RESUMO!F28</f>
        <v>2530.7984689961295</v>
      </c>
      <c r="E60" s="958">
        <f>D60/D$94</f>
        <v>9.2405873860102307E-4</v>
      </c>
      <c r="F60" s="81" t="s">
        <v>46</v>
      </c>
      <c r="G60" s="78">
        <f>$D60*G61</f>
        <v>0</v>
      </c>
      <c r="H60" s="79">
        <f>$D60*H61</f>
        <v>0</v>
      </c>
      <c r="I60" s="287">
        <f>$D60*I61</f>
        <v>0</v>
      </c>
      <c r="J60" s="291">
        <f t="shared" ref="J60:K60" si="21">$D60*J61</f>
        <v>2530.7984689961295</v>
      </c>
      <c r="K60" s="287">
        <f t="shared" si="21"/>
        <v>0</v>
      </c>
      <c r="L60" s="298">
        <f t="shared" si="17"/>
        <v>2530.7984689961295</v>
      </c>
      <c r="N60" s="80"/>
    </row>
    <row r="61" spans="2:14" ht="15">
      <c r="B61" s="83"/>
      <c r="C61" s="85"/>
      <c r="D61" s="84"/>
      <c r="E61" s="959"/>
      <c r="F61" s="81" t="s">
        <v>47</v>
      </c>
      <c r="G61" s="82">
        <v>0</v>
      </c>
      <c r="H61" s="292">
        <v>0</v>
      </c>
      <c r="I61" s="288">
        <v>0</v>
      </c>
      <c r="J61" s="292">
        <v>1</v>
      </c>
      <c r="K61" s="289">
        <v>0</v>
      </c>
      <c r="L61" s="297">
        <f t="shared" si="17"/>
        <v>1</v>
      </c>
    </row>
    <row r="62" spans="2:14" ht="15">
      <c r="B62" s="83" t="s">
        <v>194</v>
      </c>
      <c r="C62" s="85" t="str">
        <f>RESUMO!B29</f>
        <v>Dampers</v>
      </c>
      <c r="D62" s="84">
        <f>RESUMO!F29</f>
        <v>2719.8918799079038</v>
      </c>
      <c r="E62" s="958">
        <f>D62/D$94</f>
        <v>9.9310154106257553E-4</v>
      </c>
      <c r="F62" s="81" t="s">
        <v>46</v>
      </c>
      <c r="G62" s="78">
        <f>$D62*G63</f>
        <v>0</v>
      </c>
      <c r="H62" s="79">
        <f>$D62*H63</f>
        <v>0</v>
      </c>
      <c r="I62" s="287">
        <f>$D62*I63</f>
        <v>0</v>
      </c>
      <c r="J62" s="291">
        <f t="shared" ref="J62:K62" si="22">$D62*J63</f>
        <v>2719.8918799079038</v>
      </c>
      <c r="K62" s="287">
        <f t="shared" si="22"/>
        <v>0</v>
      </c>
      <c r="L62" s="298">
        <f t="shared" si="17"/>
        <v>2719.8918799079038</v>
      </c>
    </row>
    <row r="63" spans="2:14" ht="15">
      <c r="B63" s="83"/>
      <c r="C63" s="85"/>
      <c r="D63" s="84"/>
      <c r="E63" s="959"/>
      <c r="F63" s="81" t="s">
        <v>47</v>
      </c>
      <c r="G63" s="101">
        <v>0</v>
      </c>
      <c r="H63" s="102">
        <v>0</v>
      </c>
      <c r="I63" s="290">
        <v>0</v>
      </c>
      <c r="J63" s="292">
        <v>1</v>
      </c>
      <c r="K63" s="290">
        <v>0</v>
      </c>
      <c r="L63" s="297">
        <f t="shared" si="17"/>
        <v>1</v>
      </c>
    </row>
    <row r="64" spans="2:14" ht="15">
      <c r="B64" s="83" t="s">
        <v>1026</v>
      </c>
      <c r="C64" s="85" t="s">
        <v>143</v>
      </c>
      <c r="D64" s="84">
        <f>RESUMO!F30</f>
        <v>159910.10949663792</v>
      </c>
      <c r="E64" s="958">
        <f>D64/D$94</f>
        <v>5.8387238605224837E-2</v>
      </c>
      <c r="F64" s="81" t="s">
        <v>46</v>
      </c>
      <c r="G64" s="78">
        <f>$D64*G65</f>
        <v>0</v>
      </c>
      <c r="H64" s="79">
        <f>$D64*H65</f>
        <v>0</v>
      </c>
      <c r="I64" s="287">
        <f>$D64*I65</f>
        <v>0</v>
      </c>
      <c r="J64" s="291">
        <f t="shared" ref="J64:K64" si="23">$D64*J65</f>
        <v>159910.10949663792</v>
      </c>
      <c r="K64" s="287">
        <f t="shared" si="23"/>
        <v>0</v>
      </c>
      <c r="L64" s="298">
        <f t="shared" si="17"/>
        <v>159910.10949663792</v>
      </c>
      <c r="N64" s="80"/>
    </row>
    <row r="65" spans="2:14" ht="15">
      <c r="B65" s="83"/>
      <c r="C65" s="86"/>
      <c r="D65" s="84"/>
      <c r="E65" s="959"/>
      <c r="F65" s="81" t="s">
        <v>47</v>
      </c>
      <c r="G65" s="82">
        <v>0</v>
      </c>
      <c r="H65" s="292">
        <v>0</v>
      </c>
      <c r="I65" s="288">
        <v>0</v>
      </c>
      <c r="J65" s="292">
        <v>1</v>
      </c>
      <c r="K65" s="289">
        <v>0</v>
      </c>
      <c r="L65" s="297">
        <f t="shared" si="17"/>
        <v>1</v>
      </c>
    </row>
    <row r="66" spans="2:14">
      <c r="B66" s="960">
        <v>6</v>
      </c>
      <c r="C66" s="962" t="s">
        <v>1489</v>
      </c>
      <c r="D66" s="961">
        <f>RESUMO!F31</f>
        <v>55492.854548161034</v>
      </c>
      <c r="E66" s="958">
        <f>D66/D$94</f>
        <v>2.0261849295129378E-2</v>
      </c>
      <c r="F66" s="81" t="s">
        <v>46</v>
      </c>
      <c r="G66" s="78">
        <f>$D66*G67</f>
        <v>0</v>
      </c>
      <c r="H66" s="79">
        <f>$D66*H67</f>
        <v>0</v>
      </c>
      <c r="I66" s="287">
        <f>$D66*I67</f>
        <v>0</v>
      </c>
      <c r="J66" s="291">
        <f t="shared" ref="J66:K66" si="24">$D66*J67</f>
        <v>0</v>
      </c>
      <c r="K66" s="287">
        <f t="shared" si="24"/>
        <v>55492.854548161034</v>
      </c>
      <c r="L66" s="298">
        <f t="shared" si="17"/>
        <v>55492.854548161034</v>
      </c>
      <c r="N66" s="80"/>
    </row>
    <row r="67" spans="2:14">
      <c r="B67" s="960"/>
      <c r="C67" s="963"/>
      <c r="D67" s="961"/>
      <c r="E67" s="959"/>
      <c r="F67" s="81" t="s">
        <v>47</v>
      </c>
      <c r="G67" s="82">
        <v>0</v>
      </c>
      <c r="H67" s="292">
        <v>0</v>
      </c>
      <c r="I67" s="288">
        <v>0</v>
      </c>
      <c r="J67" s="292">
        <v>0</v>
      </c>
      <c r="K67" s="289">
        <v>1</v>
      </c>
      <c r="L67" s="297">
        <f t="shared" si="17"/>
        <v>1</v>
      </c>
    </row>
    <row r="68" spans="2:14">
      <c r="B68" s="964">
        <v>7</v>
      </c>
      <c r="C68" s="962" t="s">
        <v>1490</v>
      </c>
      <c r="D68" s="961"/>
      <c r="E68" s="958">
        <f>SUM(E70:E91)</f>
        <v>0.19711948573643168</v>
      </c>
      <c r="F68" s="99"/>
      <c r="G68" s="983" t="s">
        <v>2180</v>
      </c>
      <c r="H68" s="978" t="s">
        <v>2180</v>
      </c>
      <c r="I68" s="978" t="s">
        <v>2180</v>
      </c>
      <c r="J68" s="978" t="s">
        <v>2180</v>
      </c>
      <c r="K68" s="978" t="s">
        <v>2180</v>
      </c>
      <c r="L68" s="985" t="s">
        <v>2180</v>
      </c>
    </row>
    <row r="69" spans="2:14">
      <c r="B69" s="964"/>
      <c r="C69" s="963"/>
      <c r="D69" s="961"/>
      <c r="E69" s="959"/>
      <c r="F69" s="98"/>
      <c r="G69" s="984"/>
      <c r="H69" s="979"/>
      <c r="I69" s="979"/>
      <c r="J69" s="979"/>
      <c r="K69" s="979"/>
      <c r="L69" s="986"/>
    </row>
    <row r="70" spans="2:14" ht="15">
      <c r="B70" s="83" t="s">
        <v>195</v>
      </c>
      <c r="C70" s="87" t="s">
        <v>166</v>
      </c>
      <c r="D70" s="84">
        <f>RESUMO!F32</f>
        <v>22524.925625211632</v>
      </c>
      <c r="E70" s="958">
        <f>D70/D$94</f>
        <v>8.2244219029305714E-3</v>
      </c>
      <c r="F70" s="81" t="s">
        <v>46</v>
      </c>
      <c r="G70" s="78">
        <f>$D70*G71</f>
        <v>0</v>
      </c>
      <c r="H70" s="79">
        <f>$D70*H71</f>
        <v>0</v>
      </c>
      <c r="I70" s="291">
        <f>$D70*I71</f>
        <v>0</v>
      </c>
      <c r="J70" s="287">
        <f t="shared" ref="J70:K70" si="25">$D70*J71</f>
        <v>22524.925625211632</v>
      </c>
      <c r="K70" s="291">
        <f t="shared" si="25"/>
        <v>0</v>
      </c>
      <c r="L70" s="298">
        <f t="shared" ref="L70:L92" si="26">SUM(G70:K70)</f>
        <v>22524.925625211632</v>
      </c>
      <c r="N70" s="80"/>
    </row>
    <row r="71" spans="2:14" ht="15">
      <c r="B71" s="83"/>
      <c r="C71" s="87"/>
      <c r="D71" s="84"/>
      <c r="E71" s="959"/>
      <c r="F71" s="81" t="s">
        <v>47</v>
      </c>
      <c r="G71" s="82">
        <v>0</v>
      </c>
      <c r="H71" s="292">
        <v>0</v>
      </c>
      <c r="I71" s="288">
        <v>0</v>
      </c>
      <c r="J71" s="292">
        <v>1</v>
      </c>
      <c r="K71" s="289">
        <v>0</v>
      </c>
      <c r="L71" s="297">
        <f t="shared" si="26"/>
        <v>1</v>
      </c>
    </row>
    <row r="72" spans="2:14" ht="15">
      <c r="B72" s="83" t="s">
        <v>196</v>
      </c>
      <c r="C72" s="87" t="s">
        <v>167</v>
      </c>
      <c r="D72" s="84">
        <f>RESUMO!F33</f>
        <v>71167.595488037943</v>
      </c>
      <c r="E72" s="958">
        <f>D72/D$94</f>
        <v>2.5985094949907202E-2</v>
      </c>
      <c r="F72" s="81" t="s">
        <v>46</v>
      </c>
      <c r="G72" s="78">
        <f>$D72*G73</f>
        <v>0</v>
      </c>
      <c r="H72" s="79">
        <f>$D72*H73</f>
        <v>0</v>
      </c>
      <c r="I72" s="291">
        <f>$D72*I73</f>
        <v>0</v>
      </c>
      <c r="J72" s="287">
        <f t="shared" ref="J72:K72" si="27">$D72*J73</f>
        <v>71167.595488037943</v>
      </c>
      <c r="K72" s="291">
        <f t="shared" si="27"/>
        <v>0</v>
      </c>
      <c r="L72" s="298">
        <f t="shared" si="26"/>
        <v>71167.595488037943</v>
      </c>
      <c r="N72" s="80"/>
    </row>
    <row r="73" spans="2:14" ht="15">
      <c r="B73" s="83"/>
      <c r="C73" s="87"/>
      <c r="D73" s="84"/>
      <c r="E73" s="959"/>
      <c r="F73" s="81" t="s">
        <v>47</v>
      </c>
      <c r="G73" s="82">
        <v>0</v>
      </c>
      <c r="H73" s="292">
        <v>0</v>
      </c>
      <c r="I73" s="288">
        <v>0</v>
      </c>
      <c r="J73" s="292">
        <v>1</v>
      </c>
      <c r="K73" s="289">
        <v>0</v>
      </c>
      <c r="L73" s="297">
        <f t="shared" si="26"/>
        <v>1</v>
      </c>
    </row>
    <row r="74" spans="2:14" ht="15">
      <c r="B74" s="83" t="s">
        <v>197</v>
      </c>
      <c r="C74" s="87" t="s">
        <v>169</v>
      </c>
      <c r="D74" s="84">
        <f>RESUMO!F34</f>
        <v>84432.978800218581</v>
      </c>
      <c r="E74" s="958">
        <f>D74/D$94</f>
        <v>3.0828622998734803E-2</v>
      </c>
      <c r="F74" s="81" t="s">
        <v>46</v>
      </c>
      <c r="G74" s="78">
        <f>$D74*G75</f>
        <v>0</v>
      </c>
      <c r="H74" s="79">
        <f>$D74*H75</f>
        <v>0</v>
      </c>
      <c r="I74" s="291">
        <f>$D74*I75</f>
        <v>0</v>
      </c>
      <c r="J74" s="287">
        <f t="shared" ref="J74:K74" si="28">$D74*J75</f>
        <v>84432.978800218581</v>
      </c>
      <c r="K74" s="291">
        <f t="shared" si="28"/>
        <v>0</v>
      </c>
      <c r="L74" s="298">
        <f t="shared" si="26"/>
        <v>84432.978800218581</v>
      </c>
      <c r="N74" s="80"/>
    </row>
    <row r="75" spans="2:14" ht="15">
      <c r="B75" s="83"/>
      <c r="C75" s="87"/>
      <c r="D75" s="84"/>
      <c r="E75" s="959"/>
      <c r="F75" s="81" t="s">
        <v>47</v>
      </c>
      <c r="G75" s="82">
        <v>0</v>
      </c>
      <c r="H75" s="292">
        <v>0</v>
      </c>
      <c r="I75" s="288">
        <v>0</v>
      </c>
      <c r="J75" s="292">
        <v>1</v>
      </c>
      <c r="K75" s="289">
        <v>0</v>
      </c>
      <c r="L75" s="297">
        <f t="shared" si="26"/>
        <v>1</v>
      </c>
    </row>
    <row r="76" spans="2:14" ht="15">
      <c r="B76" s="83" t="s">
        <v>198</v>
      </c>
      <c r="C76" s="87" t="s">
        <v>168</v>
      </c>
      <c r="D76" s="84">
        <f>RESUMO!F35</f>
        <v>21455.058422372495</v>
      </c>
      <c r="E76" s="958">
        <f>D76/D$94</f>
        <v>7.8337862399027337E-3</v>
      </c>
      <c r="F76" s="81" t="s">
        <v>46</v>
      </c>
      <c r="G76" s="78">
        <f>$D76*G77</f>
        <v>0</v>
      </c>
      <c r="H76" s="79">
        <f>$D76*H77</f>
        <v>0</v>
      </c>
      <c r="I76" s="291">
        <f>$D76*I77</f>
        <v>0</v>
      </c>
      <c r="J76" s="287">
        <f t="shared" ref="J76:K76" si="29">$D76*J77</f>
        <v>0</v>
      </c>
      <c r="K76" s="291">
        <f t="shared" si="29"/>
        <v>21455.058422372495</v>
      </c>
      <c r="L76" s="298">
        <f t="shared" si="26"/>
        <v>21455.058422372495</v>
      </c>
      <c r="N76" s="80"/>
    </row>
    <row r="77" spans="2:14" ht="15">
      <c r="B77" s="83"/>
      <c r="C77" s="87"/>
      <c r="D77" s="84"/>
      <c r="E77" s="959"/>
      <c r="F77" s="81" t="s">
        <v>47</v>
      </c>
      <c r="G77" s="82">
        <v>0</v>
      </c>
      <c r="H77" s="292">
        <v>0</v>
      </c>
      <c r="I77" s="288">
        <v>0</v>
      </c>
      <c r="J77" s="292">
        <v>0</v>
      </c>
      <c r="K77" s="289">
        <v>1</v>
      </c>
      <c r="L77" s="297">
        <f t="shared" si="26"/>
        <v>1</v>
      </c>
    </row>
    <row r="78" spans="2:14" ht="15">
      <c r="B78" s="83" t="s">
        <v>199</v>
      </c>
      <c r="C78" s="88" t="s">
        <v>174</v>
      </c>
      <c r="D78" s="84">
        <f>RESUMO!F36</f>
        <v>26069.285501646762</v>
      </c>
      <c r="E78" s="958">
        <f>D78/D$94</f>
        <v>9.5185576299313332E-3</v>
      </c>
      <c r="F78" s="81" t="s">
        <v>46</v>
      </c>
      <c r="G78" s="78">
        <f>$D78*G79</f>
        <v>0</v>
      </c>
      <c r="H78" s="79">
        <f>$D78*H79</f>
        <v>0</v>
      </c>
      <c r="I78" s="291">
        <f>$D78*I79</f>
        <v>0</v>
      </c>
      <c r="J78" s="287">
        <f t="shared" ref="J78:K78" si="30">$D78*J79</f>
        <v>0</v>
      </c>
      <c r="K78" s="291">
        <f t="shared" si="30"/>
        <v>26069.285501646762</v>
      </c>
      <c r="L78" s="298">
        <f t="shared" si="26"/>
        <v>26069.285501646762</v>
      </c>
      <c r="N78" s="80"/>
    </row>
    <row r="79" spans="2:14" ht="15">
      <c r="B79" s="83"/>
      <c r="C79" s="88"/>
      <c r="D79" s="84"/>
      <c r="E79" s="959"/>
      <c r="F79" s="81" t="s">
        <v>47</v>
      </c>
      <c r="G79" s="82">
        <v>0</v>
      </c>
      <c r="H79" s="292">
        <v>0</v>
      </c>
      <c r="I79" s="288">
        <v>0</v>
      </c>
      <c r="J79" s="292">
        <v>0</v>
      </c>
      <c r="K79" s="289">
        <v>1</v>
      </c>
      <c r="L79" s="297">
        <f t="shared" si="26"/>
        <v>1</v>
      </c>
    </row>
    <row r="80" spans="2:14" ht="15">
      <c r="B80" s="83" t="s">
        <v>1477</v>
      </c>
      <c r="C80" s="88" t="s">
        <v>185</v>
      </c>
      <c r="D80" s="84">
        <f>RESUMO!F37</f>
        <v>22355.601507806387</v>
      </c>
      <c r="E80" s="958">
        <f>D80/D$94</f>
        <v>8.1625973711628216E-3</v>
      </c>
      <c r="F80" s="81" t="s">
        <v>46</v>
      </c>
      <c r="G80" s="78">
        <f>$D80*G81</f>
        <v>0</v>
      </c>
      <c r="H80" s="79">
        <f>$D80*H81</f>
        <v>0</v>
      </c>
      <c r="I80" s="291">
        <f>$D80*I81</f>
        <v>0</v>
      </c>
      <c r="J80" s="287">
        <f t="shared" ref="J80:K80" si="31">$D80*J81</f>
        <v>22355.601507806387</v>
      </c>
      <c r="K80" s="291">
        <f t="shared" si="31"/>
        <v>0</v>
      </c>
      <c r="L80" s="298">
        <f t="shared" si="26"/>
        <v>22355.601507806387</v>
      </c>
      <c r="N80" s="80"/>
    </row>
    <row r="81" spans="2:14" ht="15">
      <c r="B81" s="83"/>
      <c r="C81" s="88"/>
      <c r="D81" s="84"/>
      <c r="E81" s="959"/>
      <c r="F81" s="81" t="s">
        <v>47</v>
      </c>
      <c r="G81" s="82">
        <v>0</v>
      </c>
      <c r="H81" s="292">
        <v>0</v>
      </c>
      <c r="I81" s="288">
        <v>0</v>
      </c>
      <c r="J81" s="292">
        <v>1</v>
      </c>
      <c r="K81" s="289">
        <v>0</v>
      </c>
      <c r="L81" s="297">
        <f t="shared" si="26"/>
        <v>1</v>
      </c>
    </row>
    <row r="82" spans="2:14" ht="15">
      <c r="B82" s="83" t="s">
        <v>200</v>
      </c>
      <c r="C82" s="88" t="s">
        <v>175</v>
      </c>
      <c r="D82" s="84">
        <f>RESUMO!F38</f>
        <v>80552.664013993461</v>
      </c>
      <c r="E82" s="958">
        <f>D82/D$94</f>
        <v>2.9411821609505118E-2</v>
      </c>
      <c r="F82" s="81" t="s">
        <v>46</v>
      </c>
      <c r="G82" s="78">
        <f>$D82*G83</f>
        <v>0</v>
      </c>
      <c r="H82" s="79">
        <f>$D82*H83</f>
        <v>0</v>
      </c>
      <c r="I82" s="291">
        <f>$D82*I83</f>
        <v>0</v>
      </c>
      <c r="J82" s="287">
        <f t="shared" ref="J82:K82" si="32">$D82*J83</f>
        <v>80552.664013993461</v>
      </c>
      <c r="K82" s="291">
        <f t="shared" si="32"/>
        <v>0</v>
      </c>
      <c r="L82" s="298">
        <f t="shared" si="26"/>
        <v>80552.664013993461</v>
      </c>
      <c r="N82" s="80"/>
    </row>
    <row r="83" spans="2:14" ht="15">
      <c r="B83" s="83"/>
      <c r="C83" s="88"/>
      <c r="D83" s="84"/>
      <c r="E83" s="959"/>
      <c r="F83" s="81" t="s">
        <v>47</v>
      </c>
      <c r="G83" s="82">
        <v>0</v>
      </c>
      <c r="H83" s="292">
        <v>0</v>
      </c>
      <c r="I83" s="288">
        <v>0</v>
      </c>
      <c r="J83" s="292">
        <v>1</v>
      </c>
      <c r="K83" s="289">
        <v>0</v>
      </c>
      <c r="L83" s="297">
        <f t="shared" si="26"/>
        <v>1</v>
      </c>
    </row>
    <row r="84" spans="2:14" ht="15">
      <c r="B84" s="83" t="s">
        <v>201</v>
      </c>
      <c r="C84" s="88" t="s">
        <v>176</v>
      </c>
      <c r="D84" s="84">
        <f>RESUMO!F39</f>
        <v>1124.2347301084887</v>
      </c>
      <c r="E84" s="958">
        <f>D84/D$94</f>
        <v>4.1048662677893398E-4</v>
      </c>
      <c r="F84" s="81" t="s">
        <v>46</v>
      </c>
      <c r="G84" s="78">
        <f>$D84*G85</f>
        <v>0</v>
      </c>
      <c r="H84" s="79">
        <f>$D84*H85</f>
        <v>0</v>
      </c>
      <c r="I84" s="291">
        <f>$D84*I85</f>
        <v>0</v>
      </c>
      <c r="J84" s="287">
        <f t="shared" ref="J84:K84" si="33">$D84*J85</f>
        <v>1124.2347301084887</v>
      </c>
      <c r="K84" s="291">
        <f t="shared" si="33"/>
        <v>0</v>
      </c>
      <c r="L84" s="298">
        <f t="shared" si="26"/>
        <v>1124.2347301084887</v>
      </c>
      <c r="N84" s="80"/>
    </row>
    <row r="85" spans="2:14" ht="15">
      <c r="B85" s="83"/>
      <c r="C85" s="88"/>
      <c r="D85" s="84"/>
      <c r="E85" s="959"/>
      <c r="F85" s="81" t="s">
        <v>47</v>
      </c>
      <c r="G85" s="82">
        <v>0</v>
      </c>
      <c r="H85" s="292">
        <v>0</v>
      </c>
      <c r="I85" s="288">
        <v>0</v>
      </c>
      <c r="J85" s="292">
        <v>1</v>
      </c>
      <c r="K85" s="289">
        <v>0</v>
      </c>
      <c r="L85" s="297">
        <f t="shared" si="26"/>
        <v>1</v>
      </c>
    </row>
    <row r="86" spans="2:14" ht="15">
      <c r="B86" s="83" t="s">
        <v>202</v>
      </c>
      <c r="C86" s="88" t="s">
        <v>177</v>
      </c>
      <c r="D86" s="84">
        <f>RESUMO!F40</f>
        <v>181117.83558613344</v>
      </c>
      <c r="E86" s="958">
        <f>D86/D$94</f>
        <v>6.6130717534477038E-2</v>
      </c>
      <c r="F86" s="81" t="s">
        <v>46</v>
      </c>
      <c r="G86" s="78">
        <f>$D86*G87</f>
        <v>0</v>
      </c>
      <c r="H86" s="79">
        <f>$D86*H87</f>
        <v>0</v>
      </c>
      <c r="I86" s="291">
        <f>$D86*I87</f>
        <v>0</v>
      </c>
      <c r="J86" s="287">
        <f t="shared" ref="J86:K86" si="34">$D86*J87</f>
        <v>181117.83558613344</v>
      </c>
      <c r="K86" s="291">
        <f t="shared" si="34"/>
        <v>0</v>
      </c>
      <c r="L86" s="298">
        <f t="shared" si="26"/>
        <v>181117.83558613344</v>
      </c>
      <c r="N86" s="80"/>
    </row>
    <row r="87" spans="2:14" ht="15">
      <c r="B87" s="83"/>
      <c r="C87" s="89"/>
      <c r="D87" s="84"/>
      <c r="E87" s="959"/>
      <c r="F87" s="81" t="s">
        <v>47</v>
      </c>
      <c r="G87" s="82">
        <v>0</v>
      </c>
      <c r="H87" s="292">
        <v>0</v>
      </c>
      <c r="I87" s="288">
        <v>0</v>
      </c>
      <c r="J87" s="292">
        <v>1</v>
      </c>
      <c r="K87" s="289">
        <v>0</v>
      </c>
      <c r="L87" s="297">
        <f t="shared" si="26"/>
        <v>1</v>
      </c>
    </row>
    <row r="88" spans="2:14" ht="15">
      <c r="B88" s="83" t="s">
        <v>1046</v>
      </c>
      <c r="C88" s="103" t="str">
        <f>RESUMO!B41</f>
        <v>Medição de Energia</v>
      </c>
      <c r="D88" s="84">
        <f>RESUMO!F41</f>
        <v>4623.5819525034167</v>
      </c>
      <c r="E88" s="958">
        <f>D88/D$94</f>
        <v>1.6881870916191457E-3</v>
      </c>
      <c r="F88" s="81" t="s">
        <v>46</v>
      </c>
      <c r="G88" s="305">
        <f t="shared" ref="G88:H88" si="35">$D88*G89</f>
        <v>0</v>
      </c>
      <c r="H88" s="291">
        <f t="shared" si="35"/>
        <v>0</v>
      </c>
      <c r="I88" s="291">
        <f>$D88*I89</f>
        <v>0</v>
      </c>
      <c r="J88" s="287">
        <f t="shared" ref="J88:K88" si="36">$D88*J89</f>
        <v>4623.5819525034167</v>
      </c>
      <c r="K88" s="291">
        <f t="shared" si="36"/>
        <v>0</v>
      </c>
      <c r="L88" s="298">
        <f t="shared" si="26"/>
        <v>4623.5819525034167</v>
      </c>
    </row>
    <row r="89" spans="2:14" ht="15">
      <c r="B89" s="83"/>
      <c r="C89" s="89"/>
      <c r="D89" s="84"/>
      <c r="E89" s="959"/>
      <c r="F89" s="81" t="s">
        <v>47</v>
      </c>
      <c r="G89" s="101">
        <v>0</v>
      </c>
      <c r="H89" s="102">
        <v>0</v>
      </c>
      <c r="I89" s="290">
        <v>0</v>
      </c>
      <c r="J89" s="292">
        <v>1</v>
      </c>
      <c r="K89" s="290">
        <v>0</v>
      </c>
      <c r="L89" s="297">
        <f t="shared" si="26"/>
        <v>1</v>
      </c>
    </row>
    <row r="90" spans="2:14" ht="15">
      <c r="B90" s="83" t="s">
        <v>1049</v>
      </c>
      <c r="C90" s="89" t="str">
        <f>RESUMO!B42</f>
        <v>CFTV</v>
      </c>
      <c r="D90" s="84">
        <f>RESUMO!F42</f>
        <v>24444.183851632981</v>
      </c>
      <c r="E90" s="958">
        <f>D90/D$94</f>
        <v>8.9251917814819944E-3</v>
      </c>
      <c r="F90" s="81" t="s">
        <v>46</v>
      </c>
      <c r="G90" s="305">
        <f t="shared" ref="G90:H90" si="37">$D90*G91</f>
        <v>0</v>
      </c>
      <c r="H90" s="291">
        <f t="shared" si="37"/>
        <v>0</v>
      </c>
      <c r="I90" s="291">
        <f>$D90*I91</f>
        <v>0</v>
      </c>
      <c r="J90" s="287">
        <f t="shared" ref="J90:K90" si="38">$D90*J91</f>
        <v>0</v>
      </c>
      <c r="K90" s="291">
        <f t="shared" si="38"/>
        <v>24444.183851632981</v>
      </c>
      <c r="L90" s="298">
        <f t="shared" si="26"/>
        <v>24444.183851632981</v>
      </c>
    </row>
    <row r="91" spans="2:14" ht="15">
      <c r="B91" s="83"/>
      <c r="C91" s="89"/>
      <c r="D91" s="84"/>
      <c r="E91" s="959"/>
      <c r="F91" s="81" t="s">
        <v>47</v>
      </c>
      <c r="G91" s="101">
        <v>0</v>
      </c>
      <c r="H91" s="102">
        <v>0</v>
      </c>
      <c r="I91" s="290">
        <v>0</v>
      </c>
      <c r="J91" s="292">
        <v>0</v>
      </c>
      <c r="K91" s="290">
        <v>1</v>
      </c>
      <c r="L91" s="297">
        <f t="shared" si="26"/>
        <v>1</v>
      </c>
    </row>
    <row r="92" spans="2:14" ht="15">
      <c r="B92" s="960">
        <v>8</v>
      </c>
      <c r="C92" s="702" t="s">
        <v>2498</v>
      </c>
      <c r="D92" s="961">
        <f>RESUMO!F43</f>
        <v>10928.378404239602</v>
      </c>
      <c r="E92" s="958">
        <f t="shared" ref="E92" si="39">D92/D$94</f>
        <v>3.9902282567690905E-3</v>
      </c>
      <c r="F92" s="81" t="s">
        <v>46</v>
      </c>
      <c r="G92" s="78">
        <f>$D92*G93</f>
        <v>0</v>
      </c>
      <c r="H92" s="79">
        <f>$D92*H93</f>
        <v>0</v>
      </c>
      <c r="I92" s="291">
        <f>$D92*I93</f>
        <v>0</v>
      </c>
      <c r="J92" s="287">
        <f t="shared" ref="J92:K92" si="40">$D92*J93</f>
        <v>0</v>
      </c>
      <c r="K92" s="291">
        <f t="shared" si="40"/>
        <v>10928.378404239602</v>
      </c>
      <c r="L92" s="300">
        <f t="shared" si="26"/>
        <v>10928.378404239602</v>
      </c>
      <c r="N92" s="80"/>
    </row>
    <row r="93" spans="2:14" ht="15">
      <c r="B93" s="960"/>
      <c r="C93" s="703"/>
      <c r="D93" s="961"/>
      <c r="E93" s="959"/>
      <c r="F93" s="81" t="s">
        <v>47</v>
      </c>
      <c r="G93" s="82">
        <v>0</v>
      </c>
      <c r="H93" s="292">
        <v>0</v>
      </c>
      <c r="I93" s="288">
        <v>0</v>
      </c>
      <c r="J93" s="292">
        <v>0</v>
      </c>
      <c r="K93" s="292">
        <v>1</v>
      </c>
      <c r="L93" s="284">
        <v>1</v>
      </c>
    </row>
    <row r="94" spans="2:14">
      <c r="B94" s="83">
        <v>8</v>
      </c>
      <c r="C94" s="90" t="s">
        <v>48</v>
      </c>
      <c r="D94" s="106">
        <f>SUM(D12:D93)</f>
        <v>2738785.2776844325</v>
      </c>
      <c r="E94" s="107">
        <v>1</v>
      </c>
      <c r="F94" s="91"/>
      <c r="G94" s="704" t="s">
        <v>2180</v>
      </c>
      <c r="H94" s="705" t="s">
        <v>2180</v>
      </c>
      <c r="I94" s="705" t="s">
        <v>2180</v>
      </c>
      <c r="J94" s="706" t="s">
        <v>2180</v>
      </c>
      <c r="K94" s="706" t="s">
        <v>2180</v>
      </c>
      <c r="L94" s="707" t="s">
        <v>2180</v>
      </c>
    </row>
    <row r="95" spans="2:14">
      <c r="B95" s="83">
        <v>9</v>
      </c>
      <c r="C95" s="952" t="s">
        <v>49</v>
      </c>
      <c r="D95" s="952"/>
      <c r="E95" s="952"/>
      <c r="F95" s="953"/>
      <c r="G95" s="104">
        <f>G12+G16+G18+G20+G22+G24+G26+G28+G30+G32+G34+G36+G40+G42+G44+G46+G48+G52+G54+G56+G58+G60+G62+G64+G66+G70+G72+G74+G76+G78+G80+G82+G84+G86+G88+G90+G92</f>
        <v>177440.98749263579</v>
      </c>
      <c r="H95" s="301">
        <f>H12+H16+H18+H20+H22+H24+H26+H28+H30+H32+H34+H36+H40+H42+H44+H46+H48+H52+H54+H56+H58+H60+H62+H64+H66+H70+H72+H74+H76+H78+H80+H82+H84+H86+H88+H90+H92</f>
        <v>316836.00106120569</v>
      </c>
      <c r="I95" s="285">
        <f>I12+I16+I18+I20+I22+I24+I26+I28+I30+I32+I34+I36+I40+I42+I44+I46+I48+I52+I54+I56+I58+I60+I62+I64+I66+I70+I72+I74+I76+I78+I80+I82+I84+I86+I88+I90+I92</f>
        <v>442657.80157991266</v>
      </c>
      <c r="J95" s="285">
        <f t="shared" ref="J95:K95" si="41">J12+J16+J18+J20+J22+J24+J26+J28+J30+J32+J34+J36+J40+J42+J44+J46+J48+J52+J54+J56+J58+J60+J62+J64+J66+J70+J72+J74+J76+J78+J80+J82+J84+J86+J88+J90+J92</f>
        <v>990724.26728854468</v>
      </c>
      <c r="K95" s="301">
        <f t="shared" si="41"/>
        <v>811126.22026213387</v>
      </c>
      <c r="L95" s="304">
        <f>L12+L16+L18+L20+L22+L24+L26+L28+L30+L32+L34+L36+L40+L42+L44+L46+L48+L52+L54+L56+L58+L60+L62+L64+L66+L70+L72+L74+L76+L78+L80+L82+L84+L86+L88+L90+L92</f>
        <v>2738785.2776844325</v>
      </c>
      <c r="N95" s="80"/>
    </row>
    <row r="96" spans="2:14">
      <c r="B96" s="83">
        <v>10</v>
      </c>
      <c r="C96" s="952" t="s">
        <v>50</v>
      </c>
      <c r="D96" s="952"/>
      <c r="E96" s="952"/>
      <c r="F96" s="953"/>
      <c r="G96" s="92">
        <f>G95/$D$94</f>
        <v>6.4788206997613645E-2</v>
      </c>
      <c r="H96" s="302">
        <f>H95/$D$94</f>
        <v>0.11568486352061956</v>
      </c>
      <c r="I96" s="302">
        <f>I95/$D$94</f>
        <v>0.16162559554656569</v>
      </c>
      <c r="J96" s="302">
        <f t="shared" ref="J96:K96" si="42">J95/$D$94</f>
        <v>0.36173856905137697</v>
      </c>
      <c r="K96" s="306">
        <f t="shared" si="42"/>
        <v>0.29616276488382426</v>
      </c>
      <c r="L96" s="286">
        <f>L95/$D$94</f>
        <v>1</v>
      </c>
    </row>
    <row r="97" spans="2:14">
      <c r="B97" s="83">
        <v>11</v>
      </c>
      <c r="C97" s="952" t="s">
        <v>51</v>
      </c>
      <c r="D97" s="952"/>
      <c r="E97" s="952"/>
      <c r="F97" s="953"/>
      <c r="G97" s="93">
        <f>G95</f>
        <v>177440.98749263579</v>
      </c>
      <c r="H97" s="303">
        <f>H95+G97</f>
        <v>494276.98855384148</v>
      </c>
      <c r="I97" s="303">
        <f>I95+H97</f>
        <v>936934.79013375414</v>
      </c>
      <c r="J97" s="303">
        <f t="shared" ref="J97:K97" si="43">J95+I97</f>
        <v>1927659.0574222989</v>
      </c>
      <c r="K97" s="303">
        <f t="shared" si="43"/>
        <v>2738785.2776844329</v>
      </c>
      <c r="L97" s="954"/>
    </row>
    <row r="98" spans="2:14" ht="13.5" thickBot="1">
      <c r="B98" s="94">
        <v>12</v>
      </c>
      <c r="C98" s="956" t="s">
        <v>52</v>
      </c>
      <c r="D98" s="956"/>
      <c r="E98" s="956"/>
      <c r="F98" s="957"/>
      <c r="G98" s="95">
        <f>G97/$D$94</f>
        <v>6.4788206997613645E-2</v>
      </c>
      <c r="H98" s="96">
        <f>H97/$D$94</f>
        <v>0.18047307051823319</v>
      </c>
      <c r="I98" s="96">
        <f>I97/$D$94</f>
        <v>0.34209866606479888</v>
      </c>
      <c r="J98" s="96">
        <f t="shared" ref="J98:K98" si="44">J97/$D$94</f>
        <v>0.70383723511617591</v>
      </c>
      <c r="K98" s="96">
        <f t="shared" si="44"/>
        <v>1.0000000000000002</v>
      </c>
      <c r="L98" s="955"/>
      <c r="N98" s="97"/>
    </row>
    <row r="100" spans="2:14" ht="15">
      <c r="I100" s="68"/>
      <c r="J100" s="68"/>
      <c r="K100" s="68"/>
    </row>
    <row r="101" spans="2:14" ht="15">
      <c r="I101" s="68"/>
      <c r="J101" s="68"/>
      <c r="K101" s="68"/>
    </row>
    <row r="102" spans="2:14" ht="15">
      <c r="I102" s="68"/>
      <c r="J102" s="68"/>
      <c r="K102" s="68"/>
    </row>
  </sheetData>
  <mergeCells count="100">
    <mergeCell ref="L14:L15"/>
    <mergeCell ref="L38:L39"/>
    <mergeCell ref="L50:L51"/>
    <mergeCell ref="L68:L69"/>
    <mergeCell ref="G68:G69"/>
    <mergeCell ref="H68:H69"/>
    <mergeCell ref="I68:I69"/>
    <mergeCell ref="K68:K69"/>
    <mergeCell ref="G14:G15"/>
    <mergeCell ref="H14:H15"/>
    <mergeCell ref="I14:I15"/>
    <mergeCell ref="K14:K15"/>
    <mergeCell ref="G38:G39"/>
    <mergeCell ref="H38:H39"/>
    <mergeCell ref="I38:I39"/>
    <mergeCell ref="K38:K39"/>
    <mergeCell ref="J14:J15"/>
    <mergeCell ref="G10:K10"/>
    <mergeCell ref="J38:J39"/>
    <mergeCell ref="J50:J51"/>
    <mergeCell ref="J68:J69"/>
    <mergeCell ref="G50:G51"/>
    <mergeCell ref="H50:H51"/>
    <mergeCell ref="I50:I51"/>
    <mergeCell ref="K50:K51"/>
    <mergeCell ref="E28:E29"/>
    <mergeCell ref="E30:E31"/>
    <mergeCell ref="E32:E33"/>
    <mergeCell ref="E26:E27"/>
    <mergeCell ref="E16:E17"/>
    <mergeCell ref="E18:E19"/>
    <mergeCell ref="E20:E21"/>
    <mergeCell ref="E24:E25"/>
    <mergeCell ref="E22:E23"/>
    <mergeCell ref="B12:B13"/>
    <mergeCell ref="C12:C13"/>
    <mergeCell ref="D12:D13"/>
    <mergeCell ref="E12:E13"/>
    <mergeCell ref="B14:B15"/>
    <mergeCell ref="C14:C15"/>
    <mergeCell ref="D14:D15"/>
    <mergeCell ref="E14:E15"/>
    <mergeCell ref="B5:L5"/>
    <mergeCell ref="B10:B11"/>
    <mergeCell ref="C10:C11"/>
    <mergeCell ref="D10:D11"/>
    <mergeCell ref="E10:E11"/>
    <mergeCell ref="F10:F11"/>
    <mergeCell ref="E34:E35"/>
    <mergeCell ref="B38:B39"/>
    <mergeCell ref="C38:C39"/>
    <mergeCell ref="D38:D39"/>
    <mergeCell ref="E38:E39"/>
    <mergeCell ref="E36:E37"/>
    <mergeCell ref="E40:E41"/>
    <mergeCell ref="E44:E45"/>
    <mergeCell ref="E46:E47"/>
    <mergeCell ref="B48:B49"/>
    <mergeCell ref="C48:C49"/>
    <mergeCell ref="D48:D49"/>
    <mergeCell ref="E48:E49"/>
    <mergeCell ref="E42:E43"/>
    <mergeCell ref="B50:B51"/>
    <mergeCell ref="C50:C51"/>
    <mergeCell ref="D50:D51"/>
    <mergeCell ref="E50:E51"/>
    <mergeCell ref="E52:E53"/>
    <mergeCell ref="E54:E55"/>
    <mergeCell ref="E56:E57"/>
    <mergeCell ref="E58:E59"/>
    <mergeCell ref="E60:E61"/>
    <mergeCell ref="E64:E65"/>
    <mergeCell ref="E62:E63"/>
    <mergeCell ref="B66:B67"/>
    <mergeCell ref="C66:C67"/>
    <mergeCell ref="D66:D67"/>
    <mergeCell ref="E66:E67"/>
    <mergeCell ref="B68:B69"/>
    <mergeCell ref="C68:C69"/>
    <mergeCell ref="D68:D69"/>
    <mergeCell ref="E68:E69"/>
    <mergeCell ref="E70:E71"/>
    <mergeCell ref="E72:E73"/>
    <mergeCell ref="E74:E75"/>
    <mergeCell ref="E76:E77"/>
    <mergeCell ref="E78:E79"/>
    <mergeCell ref="E80:E81"/>
    <mergeCell ref="E82:E83"/>
    <mergeCell ref="E84:E85"/>
    <mergeCell ref="E86:E87"/>
    <mergeCell ref="B92:B93"/>
    <mergeCell ref="D92:D93"/>
    <mergeCell ref="E92:E93"/>
    <mergeCell ref="E88:E89"/>
    <mergeCell ref="E90:E91"/>
    <mergeCell ref="C95:F95"/>
    <mergeCell ref="C96:F96"/>
    <mergeCell ref="C97:F97"/>
    <mergeCell ref="L97:L98"/>
    <mergeCell ref="C98:F98"/>
  </mergeCells>
  <pageMargins left="0.51181102362204722" right="0.51181102362204722" top="0.78740157480314965" bottom="0.78740157480314965" header="0.31496062992125984" footer="0.31496062992125984"/>
  <pageSetup paperSize="9" scale="90" orientation="landscape"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L32"/>
  <sheetViews>
    <sheetView zoomScale="80" zoomScaleNormal="80" workbookViewId="0">
      <selection activeCell="N29" sqref="N29"/>
    </sheetView>
  </sheetViews>
  <sheetFormatPr defaultRowHeight="15"/>
  <cols>
    <col min="3" max="3" width="26.28515625" customWidth="1"/>
    <col min="5" max="5" width="17.140625" customWidth="1"/>
    <col min="6" max="6" width="14.85546875" customWidth="1"/>
  </cols>
  <sheetData>
    <row r="4" spans="3:12">
      <c r="F4" s="987" t="s">
        <v>771</v>
      </c>
      <c r="G4" s="987"/>
      <c r="H4" s="987"/>
      <c r="I4" s="987"/>
    </row>
    <row r="6" spans="3:12" ht="15.75" thickBot="1"/>
    <row r="7" spans="3:12">
      <c r="C7" s="1003" t="s">
        <v>53</v>
      </c>
      <c r="D7" s="1004"/>
      <c r="E7" s="1004"/>
      <c r="F7" s="1004"/>
      <c r="G7" s="1004"/>
      <c r="H7" s="1004"/>
      <c r="I7" s="1004"/>
      <c r="J7" s="1004"/>
      <c r="K7" s="1004"/>
      <c r="L7" s="1005"/>
    </row>
    <row r="8" spans="3:12" ht="15.75" thickBot="1">
      <c r="C8" s="1006"/>
      <c r="D8" s="1007"/>
      <c r="E8" s="1007"/>
      <c r="F8" s="1007"/>
      <c r="G8" s="1007"/>
      <c r="H8" s="1007"/>
      <c r="I8" s="1007"/>
      <c r="J8" s="1007"/>
      <c r="K8" s="1007"/>
      <c r="L8" s="1008"/>
    </row>
    <row r="9" spans="3:12">
      <c r="C9" s="2"/>
      <c r="L9" s="3"/>
    </row>
    <row r="10" spans="3:12" ht="15.75">
      <c r="C10" s="1009" t="s">
        <v>54</v>
      </c>
      <c r="D10" s="1010"/>
      <c r="E10" s="1010"/>
      <c r="F10" s="1011"/>
      <c r="L10" s="3"/>
    </row>
    <row r="11" spans="3:12" ht="15.75">
      <c r="C11" s="4" t="s">
        <v>55</v>
      </c>
      <c r="D11" s="5" t="s">
        <v>56</v>
      </c>
      <c r="E11" s="5" t="s">
        <v>57</v>
      </c>
      <c r="F11" s="5" t="s">
        <v>58</v>
      </c>
      <c r="L11" s="3"/>
    </row>
    <row r="12" spans="3:12">
      <c r="C12" s="6" t="s">
        <v>59</v>
      </c>
      <c r="D12" s="7">
        <v>0.2034</v>
      </c>
      <c r="E12" s="7">
        <v>0.22120000000000001</v>
      </c>
      <c r="F12" s="7">
        <v>0.25</v>
      </c>
      <c r="L12" s="3"/>
    </row>
    <row r="13" spans="3:12">
      <c r="C13" s="2"/>
      <c r="L13" s="3"/>
    </row>
    <row r="14" spans="3:12">
      <c r="C14" s="2"/>
      <c r="L14" s="3"/>
    </row>
    <row r="15" spans="3:12">
      <c r="C15" s="2" t="s">
        <v>60</v>
      </c>
      <c r="G15" s="1012"/>
      <c r="H15" s="1013"/>
      <c r="I15" s="1013"/>
      <c r="J15" s="1013"/>
      <c r="K15" s="1013"/>
      <c r="L15" s="1014"/>
    </row>
    <row r="16" spans="3:12" ht="15.75">
      <c r="C16" s="4" t="s">
        <v>61</v>
      </c>
      <c r="D16" s="5" t="s">
        <v>56</v>
      </c>
      <c r="E16" s="5" t="s">
        <v>57</v>
      </c>
      <c r="F16" s="5" t="s">
        <v>58</v>
      </c>
      <c r="G16" s="1015"/>
      <c r="H16" s="1016"/>
      <c r="I16" s="1016"/>
      <c r="J16" s="1016"/>
      <c r="K16" s="1016"/>
      <c r="L16" s="1017"/>
    </row>
    <row r="17" spans="3:12">
      <c r="C17" s="6" t="s">
        <v>62</v>
      </c>
      <c r="D17" s="7">
        <v>0.03</v>
      </c>
      <c r="E17" s="7">
        <v>0.04</v>
      </c>
      <c r="F17" s="7">
        <v>5.5E-2</v>
      </c>
      <c r="G17" s="1015"/>
      <c r="H17" s="1016"/>
      <c r="I17" s="1016"/>
      <c r="J17" s="1016"/>
      <c r="K17" s="1016"/>
      <c r="L17" s="1017"/>
    </row>
    <row r="18" spans="3:12">
      <c r="C18" s="6" t="s">
        <v>63</v>
      </c>
      <c r="D18" s="7">
        <v>8.0000000000000002E-3</v>
      </c>
      <c r="E18" s="7">
        <v>8.0000000000000002E-3</v>
      </c>
      <c r="F18" s="7">
        <v>0.01</v>
      </c>
      <c r="G18" s="1015"/>
      <c r="H18" s="1016"/>
      <c r="I18" s="1016"/>
      <c r="J18" s="1016"/>
      <c r="K18" s="1016"/>
      <c r="L18" s="1017"/>
    </row>
    <row r="19" spans="3:12">
      <c r="C19" s="6" t="s">
        <v>64</v>
      </c>
      <c r="D19" s="7">
        <v>9.7000000000000003E-3</v>
      </c>
      <c r="E19" s="7">
        <v>1.2699999999999999E-2</v>
      </c>
      <c r="F19" s="7">
        <v>1.2699999999999999E-2</v>
      </c>
      <c r="G19" s="1015"/>
      <c r="H19" s="1016"/>
      <c r="I19" s="1016"/>
      <c r="J19" s="1016"/>
      <c r="K19" s="1016"/>
      <c r="L19" s="1017"/>
    </row>
    <row r="20" spans="3:12">
      <c r="C20" s="6" t="s">
        <v>65</v>
      </c>
      <c r="D20" s="7">
        <v>5.8999999999999999E-3</v>
      </c>
      <c r="E20" s="7">
        <v>1.23E-2</v>
      </c>
      <c r="F20" s="7">
        <v>1.3899999999999999E-2</v>
      </c>
      <c r="G20" s="1015"/>
      <c r="H20" s="1016"/>
      <c r="I20" s="1016"/>
      <c r="J20" s="1016"/>
      <c r="K20" s="1016"/>
      <c r="L20" s="1017"/>
    </row>
    <row r="21" spans="3:12">
      <c r="C21" s="6" t="s">
        <v>66</v>
      </c>
      <c r="D21" s="7">
        <v>6.1600000000000002E-2</v>
      </c>
      <c r="E21" s="7">
        <v>7.3999999999999996E-2</v>
      </c>
      <c r="F21" s="7">
        <v>8.9599999999999999E-2</v>
      </c>
      <c r="G21" s="1015"/>
      <c r="H21" s="1016"/>
      <c r="I21" s="1016"/>
      <c r="J21" s="1016"/>
      <c r="K21" s="1016"/>
      <c r="L21" s="1017"/>
    </row>
    <row r="22" spans="3:12" ht="15.75" thickBot="1">
      <c r="C22" s="6" t="s">
        <v>67</v>
      </c>
      <c r="D22" s="1018" t="s">
        <v>68</v>
      </c>
      <c r="E22" s="1019"/>
      <c r="F22" s="1020"/>
      <c r="G22" s="1015"/>
      <c r="H22" s="1016"/>
      <c r="I22" s="1016"/>
      <c r="J22" s="1016"/>
      <c r="K22" s="1016"/>
      <c r="L22" s="1017"/>
    </row>
    <row r="23" spans="3:12" ht="15.75" thickBot="1">
      <c r="C23" s="2"/>
      <c r="G23" s="1021" t="s">
        <v>69</v>
      </c>
      <c r="H23" s="1022"/>
      <c r="I23" s="1022"/>
      <c r="J23" s="1022"/>
      <c r="K23" s="1022"/>
      <c r="L23" s="1023"/>
    </row>
    <row r="24" spans="3:12" ht="35.450000000000003" customHeight="1" thickBot="1">
      <c r="C24" s="8" t="s">
        <v>70</v>
      </c>
      <c r="D24" s="9" t="s">
        <v>47</v>
      </c>
      <c r="E24" s="10" t="s">
        <v>71</v>
      </c>
      <c r="F24" s="11" t="s">
        <v>72</v>
      </c>
      <c r="G24" s="1024" t="s">
        <v>73</v>
      </c>
      <c r="H24" s="1025"/>
      <c r="I24" s="1025"/>
      <c r="J24" s="1025"/>
      <c r="K24" s="1025"/>
      <c r="L24" s="1026"/>
    </row>
    <row r="25" spans="3:12" ht="29.45" customHeight="1" thickBot="1">
      <c r="C25" s="12" t="s">
        <v>62</v>
      </c>
      <c r="D25" s="13">
        <f>(3%+4%)/2</f>
        <v>3.5000000000000003E-2</v>
      </c>
      <c r="E25" s="14" t="str">
        <f>IF(D25&lt;0.03,"FORA DO LIMITE",IF(D25&gt;0.055,"FORA DO LIMITE","OK"))</f>
        <v>OK</v>
      </c>
      <c r="F25" s="15">
        <f>((1+D25+D26+D27)*(1+D28)*(1+D29))/(1-(D30+D31))-1</f>
        <v>0.20012509277971513</v>
      </c>
      <c r="G25" s="997"/>
      <c r="H25" s="998"/>
      <c r="I25" s="998"/>
      <c r="J25" s="998"/>
      <c r="K25" s="998"/>
      <c r="L25" s="999"/>
    </row>
    <row r="26" spans="3:12" ht="28.9" customHeight="1">
      <c r="C26" s="12" t="s">
        <v>74</v>
      </c>
      <c r="D26" s="13">
        <v>8.0000000000000002E-3</v>
      </c>
      <c r="E26" s="14" t="str">
        <f>IF(D26&lt;0.008,"FORA DO LIMITE",IF(D26&gt;0.01,"FORA DO LIMITE","OK"))</f>
        <v>OK</v>
      </c>
      <c r="F26" s="16"/>
      <c r="G26" s="997"/>
      <c r="H26" s="998"/>
      <c r="I26" s="998"/>
      <c r="J26" s="998"/>
      <c r="K26" s="998"/>
      <c r="L26" s="999"/>
    </row>
    <row r="27" spans="3:12" ht="37.9" customHeight="1" thickBot="1">
      <c r="C27" s="12" t="s">
        <v>75</v>
      </c>
      <c r="D27" s="13">
        <f>(0.97%+1.27%)/2</f>
        <v>1.12E-2</v>
      </c>
      <c r="E27" s="14" t="str">
        <f>IF(D27&lt;0.0097,"FORA DO LIMITE",IF(D27&gt;0.0127,"FORA DO LIMITE","OK"))</f>
        <v>OK</v>
      </c>
      <c r="F27" s="17"/>
      <c r="G27" s="988" t="s">
        <v>76</v>
      </c>
      <c r="H27" s="989"/>
      <c r="I27" s="989"/>
      <c r="J27" s="989"/>
      <c r="K27" s="989"/>
      <c r="L27" s="990"/>
    </row>
    <row r="28" spans="3:12" ht="72" customHeight="1">
      <c r="C28" s="12" t="s">
        <v>77</v>
      </c>
      <c r="D28" s="13">
        <f>(0.59%+1.23%)/2</f>
        <v>9.1000000000000004E-3</v>
      </c>
      <c r="E28" s="14" t="str">
        <f>IF(D28&lt;0.0059,"FORA DO LIMITE",IF(D28&gt;0.0139,"FORA DO LIMITE","OK"))</f>
        <v>OK</v>
      </c>
      <c r="F28" s="994"/>
      <c r="G28" s="991"/>
      <c r="H28" s="992"/>
      <c r="I28" s="992"/>
      <c r="J28" s="992"/>
      <c r="K28" s="992"/>
      <c r="L28" s="993"/>
    </row>
    <row r="29" spans="3:12" ht="43.9" customHeight="1">
      <c r="C29" s="12" t="s">
        <v>66</v>
      </c>
      <c r="D29" s="13">
        <f>(6.16%+7.4%)/2</f>
        <v>6.7799999999999999E-2</v>
      </c>
      <c r="E29" s="14" t="str">
        <f>IF(D29&lt;0.0616,"FORA DO LIMITE",IF(D29&gt;0.0896,"FORA DO LIMITE","OK"))</f>
        <v>OK</v>
      </c>
      <c r="F29" s="995"/>
      <c r="G29" s="997" t="s">
        <v>78</v>
      </c>
      <c r="H29" s="998"/>
      <c r="I29" s="998"/>
      <c r="J29" s="998"/>
      <c r="K29" s="998"/>
      <c r="L29" s="999"/>
    </row>
    <row r="30" spans="3:12">
      <c r="C30" s="12" t="s">
        <v>79</v>
      </c>
      <c r="D30" s="13">
        <f>3%+0.65%</f>
        <v>3.6499999999999998E-2</v>
      </c>
      <c r="E30" s="18"/>
      <c r="F30" s="995"/>
      <c r="G30" s="997"/>
      <c r="H30" s="998"/>
      <c r="I30" s="998"/>
      <c r="J30" s="998"/>
      <c r="K30" s="998"/>
      <c r="L30" s="999"/>
    </row>
    <row r="31" spans="3:12" ht="75.75" thickBot="1">
      <c r="C31" s="19" t="s">
        <v>80</v>
      </c>
      <c r="D31" s="20">
        <v>1.7000000000000001E-2</v>
      </c>
      <c r="E31" s="14" t="s">
        <v>2469</v>
      </c>
      <c r="F31" s="996"/>
      <c r="G31" s="997"/>
      <c r="H31" s="998"/>
      <c r="I31" s="998"/>
      <c r="J31" s="998"/>
      <c r="K31" s="998"/>
      <c r="L31" s="999"/>
    </row>
    <row r="32" spans="3:12" ht="59.25" customHeight="1" thickBot="1">
      <c r="C32" s="21"/>
      <c r="D32" s="22"/>
      <c r="E32" s="22"/>
      <c r="F32" s="23"/>
      <c r="G32" s="1000"/>
      <c r="H32" s="1001"/>
      <c r="I32" s="1001"/>
      <c r="J32" s="1001"/>
      <c r="K32" s="1001"/>
      <c r="L32" s="1002"/>
    </row>
  </sheetData>
  <mergeCells count="10">
    <mergeCell ref="F4:I4"/>
    <mergeCell ref="G27:L28"/>
    <mergeCell ref="F28:F31"/>
    <mergeCell ref="G29:L32"/>
    <mergeCell ref="C7:L8"/>
    <mergeCell ref="C10:F10"/>
    <mergeCell ref="G15:L22"/>
    <mergeCell ref="D22:F22"/>
    <mergeCell ref="G23:L23"/>
    <mergeCell ref="G24:L26"/>
  </mergeCells>
  <conditionalFormatting sqref="F27">
    <cfRule type="cellIs" dxfId="8" priority="1" stopIfTrue="1" operator="equal">
      <formula>"OK"</formula>
    </cfRule>
    <cfRule type="cellIs" dxfId="7" priority="2" stopIfTrue="1" operator="equal">
      <formula>"FORA DA FAIXA"</formula>
    </cfRule>
    <cfRule type="cellIs" dxfId="6" priority="3" stopIfTrue="1" operator="equal">
      <formula>"VERIFICAR ITENS"</formula>
    </cfRule>
  </conditionalFormatting>
  <pageMargins left="0.511811024" right="0.511811024" top="0.78740157499999996" bottom="0.78740157499999996" header="0.31496062000000002" footer="0.31496062000000002"/>
  <pageSetup paperSize="9" scale="80" orientation="portrait" horizontalDpi="4294967293" verticalDpi="4294967293"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L32"/>
  <sheetViews>
    <sheetView zoomScale="80" zoomScaleNormal="80" workbookViewId="0">
      <selection activeCell="Q29" sqref="Q29"/>
    </sheetView>
  </sheetViews>
  <sheetFormatPr defaultColWidth="9.140625" defaultRowHeight="15"/>
  <cols>
    <col min="1" max="2" width="9.140625" style="25"/>
    <col min="3" max="3" width="26.28515625" style="25" customWidth="1"/>
    <col min="4" max="4" width="9.140625" style="25"/>
    <col min="5" max="5" width="11.5703125" style="25" customWidth="1"/>
    <col min="6" max="6" width="14.85546875" style="25" customWidth="1"/>
    <col min="7" max="16384" width="9.140625" style="25"/>
  </cols>
  <sheetData>
    <row r="4" spans="3:12">
      <c r="F4" s="987" t="s">
        <v>771</v>
      </c>
      <c r="G4" s="987"/>
      <c r="H4" s="987"/>
      <c r="I4" s="987"/>
    </row>
    <row r="6" spans="3:12" ht="15.75" thickBot="1"/>
    <row r="7" spans="3:12">
      <c r="C7" s="1003" t="s">
        <v>53</v>
      </c>
      <c r="D7" s="1004"/>
      <c r="E7" s="1004"/>
      <c r="F7" s="1004"/>
      <c r="G7" s="1004"/>
      <c r="H7" s="1004"/>
      <c r="I7" s="1004"/>
      <c r="J7" s="1004"/>
      <c r="K7" s="1004"/>
      <c r="L7" s="1005"/>
    </row>
    <row r="8" spans="3:12" ht="15.75" thickBot="1">
      <c r="C8" s="1006"/>
      <c r="D8" s="1007"/>
      <c r="E8" s="1007"/>
      <c r="F8" s="1007"/>
      <c r="G8" s="1007"/>
      <c r="H8" s="1007"/>
      <c r="I8" s="1007"/>
      <c r="J8" s="1007"/>
      <c r="K8" s="1007"/>
      <c r="L8" s="1008"/>
    </row>
    <row r="9" spans="3:12">
      <c r="C9" s="2"/>
      <c r="L9" s="3"/>
    </row>
    <row r="10" spans="3:12" ht="15.75">
      <c r="C10" s="1009" t="s">
        <v>54</v>
      </c>
      <c r="D10" s="1010"/>
      <c r="E10" s="1010"/>
      <c r="F10" s="1011"/>
      <c r="L10" s="3"/>
    </row>
    <row r="11" spans="3:12" ht="15.75">
      <c r="C11" s="4" t="s">
        <v>55</v>
      </c>
      <c r="D11" s="5" t="s">
        <v>56</v>
      </c>
      <c r="E11" s="5" t="s">
        <v>57</v>
      </c>
      <c r="F11" s="5" t="s">
        <v>58</v>
      </c>
      <c r="L11" s="3"/>
    </row>
    <row r="12" spans="3:12">
      <c r="C12" s="6" t="s">
        <v>59</v>
      </c>
      <c r="D12" s="7">
        <v>0.2034</v>
      </c>
      <c r="E12" s="7">
        <v>0.22120000000000001</v>
      </c>
      <c r="F12" s="7">
        <v>0.25</v>
      </c>
      <c r="L12" s="3"/>
    </row>
    <row r="13" spans="3:12">
      <c r="C13" s="2"/>
      <c r="L13" s="3"/>
    </row>
    <row r="14" spans="3:12">
      <c r="C14" s="2"/>
      <c r="L14" s="3"/>
    </row>
    <row r="15" spans="3:12">
      <c r="C15" s="2" t="s">
        <v>60</v>
      </c>
      <c r="G15" s="1012"/>
      <c r="H15" s="1013"/>
      <c r="I15" s="1013"/>
      <c r="J15" s="1013"/>
      <c r="K15" s="1013"/>
      <c r="L15" s="1014"/>
    </row>
    <row r="16" spans="3:12" ht="15.75">
      <c r="C16" s="4" t="s">
        <v>61</v>
      </c>
      <c r="D16" s="5" t="s">
        <v>56</v>
      </c>
      <c r="E16" s="5" t="s">
        <v>57</v>
      </c>
      <c r="F16" s="5" t="s">
        <v>58</v>
      </c>
      <c r="G16" s="1015"/>
      <c r="H16" s="1016"/>
      <c r="I16" s="1016"/>
      <c r="J16" s="1016"/>
      <c r="K16" s="1016"/>
      <c r="L16" s="1017"/>
    </row>
    <row r="17" spans="3:12">
      <c r="C17" s="6" t="s">
        <v>62</v>
      </c>
      <c r="D17" s="7">
        <v>1.4999999999999999E-2</v>
      </c>
      <c r="E17" s="7">
        <v>3.4500000000000003E-2</v>
      </c>
      <c r="F17" s="7">
        <v>4.4900000000000002E-2</v>
      </c>
      <c r="G17" s="1015"/>
      <c r="H17" s="1016"/>
      <c r="I17" s="1016"/>
      <c r="J17" s="1016"/>
      <c r="K17" s="1016"/>
      <c r="L17" s="1017"/>
    </row>
    <row r="18" spans="3:12">
      <c r="C18" s="6" t="s">
        <v>63</v>
      </c>
      <c r="D18" s="7">
        <v>3.0000000000000001E-3</v>
      </c>
      <c r="E18" s="7">
        <v>4.7999999999999996E-3</v>
      </c>
      <c r="F18" s="7">
        <v>8.2000000000000007E-3</v>
      </c>
      <c r="G18" s="1015"/>
      <c r="H18" s="1016"/>
      <c r="I18" s="1016"/>
      <c r="J18" s="1016"/>
      <c r="K18" s="1016"/>
      <c r="L18" s="1017"/>
    </row>
    <row r="19" spans="3:12">
      <c r="C19" s="6" t="s">
        <v>64</v>
      </c>
      <c r="D19" s="7">
        <v>5.5999999999999999E-3</v>
      </c>
      <c r="E19" s="7">
        <v>8.5000000000000006E-3</v>
      </c>
      <c r="F19" s="7">
        <v>8.8999999999999999E-3</v>
      </c>
      <c r="G19" s="1015"/>
      <c r="H19" s="1016"/>
      <c r="I19" s="1016"/>
      <c r="J19" s="1016"/>
      <c r="K19" s="1016"/>
      <c r="L19" s="1017"/>
    </row>
    <row r="20" spans="3:12">
      <c r="C20" s="6" t="s">
        <v>65</v>
      </c>
      <c r="D20" s="7">
        <v>8.5000000000000006E-3</v>
      </c>
      <c r="E20" s="7">
        <v>8.5000000000000006E-3</v>
      </c>
      <c r="F20" s="7">
        <v>1.11E-2</v>
      </c>
      <c r="G20" s="1015"/>
      <c r="H20" s="1016"/>
      <c r="I20" s="1016"/>
      <c r="J20" s="1016"/>
      <c r="K20" s="1016"/>
      <c r="L20" s="1017"/>
    </row>
    <row r="21" spans="3:12">
      <c r="C21" s="6" t="s">
        <v>66</v>
      </c>
      <c r="D21" s="7">
        <v>3.5000000000000003E-2</v>
      </c>
      <c r="E21" s="7">
        <v>5.11E-2</v>
      </c>
      <c r="F21" s="7">
        <v>6.2199999999999998E-2</v>
      </c>
      <c r="G21" s="1015"/>
      <c r="H21" s="1016"/>
      <c r="I21" s="1016"/>
      <c r="J21" s="1016"/>
      <c r="K21" s="1016"/>
      <c r="L21" s="1017"/>
    </row>
    <row r="22" spans="3:12" ht="15.75" thickBot="1">
      <c r="C22" s="6" t="s">
        <v>67</v>
      </c>
      <c r="D22" s="1018" t="s">
        <v>68</v>
      </c>
      <c r="E22" s="1019"/>
      <c r="F22" s="1020"/>
      <c r="G22" s="1015"/>
      <c r="H22" s="1016"/>
      <c r="I22" s="1016"/>
      <c r="J22" s="1016"/>
      <c r="K22" s="1016"/>
      <c r="L22" s="1017"/>
    </row>
    <row r="23" spans="3:12" ht="15.75" thickBot="1">
      <c r="C23" s="2"/>
      <c r="G23" s="1021" t="s">
        <v>69</v>
      </c>
      <c r="H23" s="1022"/>
      <c r="I23" s="1022"/>
      <c r="J23" s="1022"/>
      <c r="K23" s="1022"/>
      <c r="L23" s="1023"/>
    </row>
    <row r="24" spans="3:12" ht="35.450000000000003" customHeight="1" thickBot="1">
      <c r="C24" s="8" t="s">
        <v>70</v>
      </c>
      <c r="D24" s="9" t="s">
        <v>47</v>
      </c>
      <c r="E24" s="10" t="s">
        <v>71</v>
      </c>
      <c r="F24" s="11" t="s">
        <v>72</v>
      </c>
      <c r="G24" s="1024" t="s">
        <v>73</v>
      </c>
      <c r="H24" s="1025"/>
      <c r="I24" s="1025"/>
      <c r="J24" s="1025"/>
      <c r="K24" s="1025"/>
      <c r="L24" s="1026"/>
    </row>
    <row r="25" spans="3:12" ht="29.45" customHeight="1" thickBot="1">
      <c r="C25" s="12" t="s">
        <v>62</v>
      </c>
      <c r="D25" s="38">
        <f>(1.5%+3.45%)/2</f>
        <v>2.4750000000000001E-2</v>
      </c>
      <c r="E25" s="18"/>
      <c r="F25" s="15">
        <f>((1+D25+D26+D27)*(1+D28)*(1+D29))/(1-(D30+D31))-1</f>
        <v>0.1307413840399585</v>
      </c>
      <c r="G25" s="997"/>
      <c r="H25" s="998"/>
      <c r="I25" s="998"/>
      <c r="J25" s="998"/>
      <c r="K25" s="998"/>
      <c r="L25" s="999"/>
    </row>
    <row r="26" spans="3:12" ht="28.9" customHeight="1">
      <c r="C26" s="12" t="s">
        <v>74</v>
      </c>
      <c r="D26" s="38">
        <f>(0.3%+0.48%)/2</f>
        <v>3.8999999999999998E-3</v>
      </c>
      <c r="E26" s="18"/>
      <c r="F26" s="16"/>
      <c r="G26" s="997"/>
      <c r="H26" s="998"/>
      <c r="I26" s="998"/>
      <c r="J26" s="998"/>
      <c r="K26" s="998"/>
      <c r="L26" s="999"/>
    </row>
    <row r="27" spans="3:12" ht="37.9" customHeight="1" thickBot="1">
      <c r="C27" s="12" t="s">
        <v>75</v>
      </c>
      <c r="D27" s="38">
        <f>(0.56%+0.85%)/2</f>
        <v>7.0500000000000007E-3</v>
      </c>
      <c r="E27" s="18"/>
      <c r="F27" s="17"/>
      <c r="G27" s="988" t="s">
        <v>76</v>
      </c>
      <c r="H27" s="989"/>
      <c r="I27" s="989"/>
      <c r="J27" s="989"/>
      <c r="K27" s="989"/>
      <c r="L27" s="990"/>
    </row>
    <row r="28" spans="3:12" ht="72" customHeight="1">
      <c r="C28" s="12" t="s">
        <v>77</v>
      </c>
      <c r="D28" s="38">
        <v>8.5000000000000006E-3</v>
      </c>
      <c r="E28" s="18"/>
      <c r="F28" s="994"/>
      <c r="G28" s="991"/>
      <c r="H28" s="992"/>
      <c r="I28" s="992"/>
      <c r="J28" s="992"/>
      <c r="K28" s="992"/>
      <c r="L28" s="993"/>
    </row>
    <row r="29" spans="3:12" ht="43.9" customHeight="1">
      <c r="C29" s="12" t="s">
        <v>66</v>
      </c>
      <c r="D29" s="38">
        <f>(3.5%+5.11%)/2</f>
        <v>4.3050000000000005E-2</v>
      </c>
      <c r="E29" s="18"/>
      <c r="F29" s="995"/>
      <c r="G29" s="997" t="s">
        <v>78</v>
      </c>
      <c r="H29" s="998"/>
      <c r="I29" s="998"/>
      <c r="J29" s="998"/>
      <c r="K29" s="998"/>
      <c r="L29" s="999"/>
    </row>
    <row r="30" spans="3:12">
      <c r="C30" s="12" t="s">
        <v>79</v>
      </c>
      <c r="D30" s="38">
        <f>3%+0.65%</f>
        <v>3.6499999999999998E-2</v>
      </c>
      <c r="E30" s="18"/>
      <c r="F30" s="995"/>
      <c r="G30" s="997"/>
      <c r="H30" s="998"/>
      <c r="I30" s="998"/>
      <c r="J30" s="998"/>
      <c r="K30" s="998"/>
      <c r="L30" s="999"/>
    </row>
    <row r="31" spans="3:12" ht="15.75" thickBot="1">
      <c r="C31" s="19" t="s">
        <v>80</v>
      </c>
      <c r="D31" s="20">
        <v>0</v>
      </c>
      <c r="E31" s="18"/>
      <c r="F31" s="996"/>
      <c r="G31" s="997"/>
      <c r="H31" s="998"/>
      <c r="I31" s="998"/>
      <c r="J31" s="998"/>
      <c r="K31" s="998"/>
      <c r="L31" s="999"/>
    </row>
    <row r="32" spans="3:12" ht="59.25" customHeight="1" thickBot="1">
      <c r="C32" s="21"/>
      <c r="D32" s="22"/>
      <c r="E32" s="22"/>
      <c r="F32" s="23"/>
      <c r="G32" s="1000"/>
      <c r="H32" s="1001"/>
      <c r="I32" s="1001"/>
      <c r="J32" s="1001"/>
      <c r="K32" s="1001"/>
      <c r="L32" s="1002"/>
    </row>
  </sheetData>
  <mergeCells count="10">
    <mergeCell ref="G24:L26"/>
    <mergeCell ref="G27:L28"/>
    <mergeCell ref="F28:F31"/>
    <mergeCell ref="G29:L32"/>
    <mergeCell ref="F4:I4"/>
    <mergeCell ref="C7:L8"/>
    <mergeCell ref="C10:F10"/>
    <mergeCell ref="G15:L22"/>
    <mergeCell ref="D22:F22"/>
    <mergeCell ref="G23:L23"/>
  </mergeCells>
  <conditionalFormatting sqref="F27">
    <cfRule type="cellIs" dxfId="5" priority="8" stopIfTrue="1" operator="equal">
      <formula>"OK"</formula>
    </cfRule>
    <cfRule type="cellIs" dxfId="4" priority="9" stopIfTrue="1" operator="equal">
      <formula>"FORA DA FAIXA"</formula>
    </cfRule>
    <cfRule type="cellIs" dxfId="3" priority="10" stopIfTrue="1" operator="equal">
      <formula>"VERIFICAR ITENS"</formula>
    </cfRule>
  </conditionalFormatting>
  <conditionalFormatting sqref="F27">
    <cfRule type="cellIs" dxfId="2" priority="3" stopIfTrue="1" operator="equal">
      <formula>"OK"</formula>
    </cfRule>
    <cfRule type="cellIs" dxfId="1" priority="4" stopIfTrue="1" operator="equal">
      <formula>"FORA DA FAIXA"</formula>
    </cfRule>
    <cfRule type="cellIs" dxfId="0" priority="5" stopIfTrue="1" operator="equal">
      <formula>"VERIFICAR ITENS"</formula>
    </cfRule>
  </conditionalFormatting>
  <pageMargins left="0.511811024" right="0.511811024" top="0.78740157499999996" bottom="0.78740157499999996" header="0.31496062000000002" footer="0.31496062000000002"/>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52"/>
  <sheetViews>
    <sheetView topLeftCell="A877" zoomScale="85" zoomScaleNormal="85" workbookViewId="0">
      <selection activeCell="R914" sqref="R914"/>
    </sheetView>
  </sheetViews>
  <sheetFormatPr defaultColWidth="9.140625" defaultRowHeight="12"/>
  <cols>
    <col min="1" max="1" width="15.7109375" style="40" customWidth="1"/>
    <col min="2" max="2" width="16.28515625" style="40" customWidth="1"/>
    <col min="3" max="3" width="12.42578125" style="40" customWidth="1"/>
    <col min="4" max="4" width="71.85546875" style="40" customWidth="1"/>
    <col min="5" max="5" width="11.28515625" style="41" customWidth="1"/>
    <col min="6" max="6" width="12.28515625" style="41" customWidth="1"/>
    <col min="7" max="7" width="12.42578125" style="42" bestFit="1" customWidth="1"/>
    <col min="8" max="8" width="11.7109375" style="41" customWidth="1"/>
    <col min="9" max="9" width="12.28515625" style="41" customWidth="1"/>
    <col min="10" max="10" width="11.7109375" style="41" customWidth="1"/>
    <col min="11" max="11" width="9.140625" style="40"/>
    <col min="12" max="12" width="14.28515625" style="40" bestFit="1" customWidth="1"/>
    <col min="13" max="13" width="11.5703125" style="40" bestFit="1" customWidth="1"/>
    <col min="14" max="15" width="9.140625" style="40"/>
    <col min="16" max="16" width="14.28515625" style="40" bestFit="1" customWidth="1"/>
    <col min="17" max="17" width="12.140625" style="40" bestFit="1" customWidth="1"/>
    <col min="18" max="18" width="12.140625" style="40" customWidth="1"/>
    <col min="19" max="19" width="9.140625" style="40"/>
    <col min="20" max="20" width="12.42578125" style="40" bestFit="1" customWidth="1"/>
    <col min="21" max="21" width="9.140625" style="40"/>
    <col min="22" max="22" width="16.7109375" style="40" bestFit="1" customWidth="1"/>
    <col min="23" max="23" width="9.28515625" style="40" bestFit="1" customWidth="1"/>
    <col min="24" max="24" width="15.42578125" style="40" bestFit="1" customWidth="1"/>
    <col min="25" max="16384" width="9.140625" style="40"/>
  </cols>
  <sheetData>
    <row r="1" spans="1:11" ht="12.75">
      <c r="A1" s="362" t="s">
        <v>688</v>
      </c>
      <c r="B1" s="363"/>
      <c r="C1" s="363"/>
      <c r="D1" s="363"/>
      <c r="E1" s="550"/>
      <c r="F1" s="550"/>
      <c r="G1" s="550"/>
      <c r="H1" s="550"/>
      <c r="I1" s="550"/>
      <c r="J1" s="551"/>
    </row>
    <row r="2" spans="1:11" ht="12.75">
      <c r="A2" s="364" t="s">
        <v>689</v>
      </c>
      <c r="B2" s="365"/>
      <c r="C2" s="365"/>
      <c r="D2" s="365"/>
      <c r="E2" s="552"/>
      <c r="F2" s="552"/>
      <c r="G2" s="552"/>
      <c r="H2" s="552"/>
      <c r="I2" s="552"/>
      <c r="J2" s="553"/>
    </row>
    <row r="3" spans="1:11" ht="12.75">
      <c r="A3" s="366" t="s">
        <v>690</v>
      </c>
      <c r="B3" s="367"/>
      <c r="C3" s="368"/>
      <c r="D3" s="368"/>
      <c r="E3" s="554"/>
      <c r="F3" s="554"/>
      <c r="G3" s="554"/>
      <c r="H3" s="554"/>
      <c r="I3" s="554"/>
      <c r="J3" s="555"/>
    </row>
    <row r="4" spans="1:11" ht="12.75">
      <c r="A4" s="369" t="s">
        <v>1112</v>
      </c>
      <c r="B4" s="369" t="s">
        <v>691</v>
      </c>
      <c r="C4" s="369" t="s">
        <v>1113</v>
      </c>
      <c r="D4" s="369" t="s">
        <v>1114</v>
      </c>
      <c r="E4" s="369" t="s">
        <v>684</v>
      </c>
      <c r="F4" s="369" t="s">
        <v>692</v>
      </c>
      <c r="G4" s="369" t="s">
        <v>693</v>
      </c>
      <c r="H4" s="369" t="s">
        <v>694</v>
      </c>
      <c r="I4" s="369" t="s">
        <v>695</v>
      </c>
      <c r="J4" s="369" t="s">
        <v>696</v>
      </c>
    </row>
    <row r="5" spans="1:11" ht="12.75">
      <c r="A5" s="370"/>
      <c r="B5" s="370"/>
      <c r="C5" s="370"/>
      <c r="D5" s="370"/>
      <c r="E5" s="370"/>
      <c r="F5" s="370"/>
      <c r="G5" s="370"/>
      <c r="H5" s="370"/>
      <c r="I5" s="370"/>
      <c r="J5" s="370"/>
    </row>
    <row r="6" spans="1:11" ht="25.5">
      <c r="A6" s="371" t="s">
        <v>697</v>
      </c>
      <c r="B6" s="372"/>
      <c r="C6" s="373" t="s">
        <v>1301</v>
      </c>
      <c r="D6" s="374" t="s">
        <v>8</v>
      </c>
      <c r="E6" s="375" t="s">
        <v>684</v>
      </c>
      <c r="F6" s="376" t="s">
        <v>692</v>
      </c>
      <c r="G6" s="376" t="s">
        <v>693</v>
      </c>
      <c r="H6" s="376" t="s">
        <v>694</v>
      </c>
      <c r="I6" s="376" t="s">
        <v>695</v>
      </c>
      <c r="J6" s="376" t="s">
        <v>696</v>
      </c>
    </row>
    <row r="7" spans="1:11" ht="25.5">
      <c r="A7" s="377" t="s">
        <v>699</v>
      </c>
      <c r="B7" s="378" t="s">
        <v>409</v>
      </c>
      <c r="C7" s="378" t="s">
        <v>1459</v>
      </c>
      <c r="D7" s="379" t="s">
        <v>8</v>
      </c>
      <c r="E7" s="380" t="s">
        <v>684</v>
      </c>
      <c r="F7" s="381">
        <v>1</v>
      </c>
      <c r="G7" s="381">
        <v>2000</v>
      </c>
      <c r="H7" s="382">
        <f>F7*G7</f>
        <v>2000</v>
      </c>
      <c r="I7" s="383"/>
      <c r="J7" s="383"/>
    </row>
    <row r="8" spans="1:11" ht="12.75">
      <c r="A8" s="384"/>
      <c r="B8" s="384"/>
      <c r="C8" s="384"/>
      <c r="D8" s="372" t="s">
        <v>696</v>
      </c>
      <c r="E8" s="47"/>
      <c r="F8" s="47"/>
      <c r="G8" s="47"/>
      <c r="H8" s="385">
        <f>SUM(H7:H7)</f>
        <v>2000</v>
      </c>
      <c r="I8" s="385">
        <f>SUM(I7:I7)</f>
        <v>0</v>
      </c>
      <c r="J8" s="386">
        <f>SUM(H8:I8)</f>
        <v>2000</v>
      </c>
    </row>
    <row r="9" spans="1:11" ht="12.75">
      <c r="A9" s="370"/>
      <c r="B9" s="370"/>
      <c r="C9" s="370"/>
      <c r="D9" s="370"/>
      <c r="E9" s="370"/>
      <c r="F9" s="370"/>
      <c r="G9" s="370"/>
      <c r="H9" s="370"/>
      <c r="I9" s="370"/>
      <c r="J9" s="370"/>
    </row>
    <row r="10" spans="1:11" ht="12.75">
      <c r="A10" s="371" t="s">
        <v>697</v>
      </c>
      <c r="B10" s="372"/>
      <c r="C10" s="373" t="s">
        <v>1302</v>
      </c>
      <c r="D10" s="387" t="s">
        <v>1115</v>
      </c>
      <c r="E10" s="380" t="s">
        <v>684</v>
      </c>
      <c r="F10" s="376" t="s">
        <v>692</v>
      </c>
      <c r="G10" s="376" t="s">
        <v>693</v>
      </c>
      <c r="H10" s="376" t="s">
        <v>694</v>
      </c>
      <c r="I10" s="376" t="s">
        <v>695</v>
      </c>
      <c r="J10" s="388" t="s">
        <v>696</v>
      </c>
      <c r="K10" s="48"/>
    </row>
    <row r="11" spans="1:11" ht="12.75">
      <c r="A11" s="377" t="s">
        <v>699</v>
      </c>
      <c r="B11" s="378" t="s">
        <v>409</v>
      </c>
      <c r="C11" s="378" t="s">
        <v>1458</v>
      </c>
      <c r="D11" s="47" t="s">
        <v>1115</v>
      </c>
      <c r="E11" s="380" t="s">
        <v>684</v>
      </c>
      <c r="F11" s="381">
        <v>1</v>
      </c>
      <c r="G11" s="381">
        <v>2900</v>
      </c>
      <c r="H11" s="382">
        <f>F11*G11</f>
        <v>2900</v>
      </c>
      <c r="I11" s="383"/>
      <c r="J11" s="389"/>
      <c r="K11" s="49"/>
    </row>
    <row r="12" spans="1:11" ht="12.75">
      <c r="A12" s="384"/>
      <c r="B12" s="384"/>
      <c r="C12" s="384"/>
      <c r="D12" s="372" t="s">
        <v>696</v>
      </c>
      <c r="E12" s="47"/>
      <c r="F12" s="47"/>
      <c r="G12" s="47"/>
      <c r="H12" s="385">
        <f>SUM(H11:H11)</f>
        <v>2900</v>
      </c>
      <c r="I12" s="385">
        <f>SUM(I11:I11)</f>
        <v>0</v>
      </c>
      <c r="J12" s="390">
        <f>SUM(H12:I12)</f>
        <v>2900</v>
      </c>
      <c r="K12" s="49"/>
    </row>
    <row r="13" spans="1:11" ht="12.75">
      <c r="A13" s="370"/>
      <c r="B13" s="370"/>
      <c r="C13" s="370"/>
      <c r="D13" s="370"/>
      <c r="E13" s="370"/>
      <c r="F13" s="370"/>
      <c r="G13" s="370"/>
      <c r="H13" s="370"/>
      <c r="I13" s="370"/>
      <c r="J13" s="370"/>
      <c r="K13" s="50"/>
    </row>
    <row r="14" spans="1:11" ht="12.75">
      <c r="A14" s="371" t="s">
        <v>697</v>
      </c>
      <c r="B14" s="372"/>
      <c r="C14" s="391" t="s">
        <v>1303</v>
      </c>
      <c r="D14" s="387" t="s">
        <v>701</v>
      </c>
      <c r="E14" s="375" t="s">
        <v>684</v>
      </c>
      <c r="F14" s="376" t="s">
        <v>692</v>
      </c>
      <c r="G14" s="376" t="s">
        <v>693</v>
      </c>
      <c r="H14" s="376" t="s">
        <v>694</v>
      </c>
      <c r="I14" s="376" t="s">
        <v>695</v>
      </c>
      <c r="J14" s="388" t="s">
        <v>696</v>
      </c>
      <c r="K14" s="49"/>
    </row>
    <row r="15" spans="1:11" ht="12.75">
      <c r="A15" s="377" t="s">
        <v>702</v>
      </c>
      <c r="B15" s="378"/>
      <c r="C15" s="378" t="s">
        <v>1304</v>
      </c>
      <c r="D15" s="47" t="s">
        <v>701</v>
      </c>
      <c r="E15" s="380" t="s">
        <v>684</v>
      </c>
      <c r="F15" s="381">
        <v>1</v>
      </c>
      <c r="G15" s="381">
        <v>233.94</v>
      </c>
      <c r="H15" s="382">
        <f>F15*G15</f>
        <v>233.94</v>
      </c>
      <c r="I15" s="383"/>
      <c r="J15" s="389"/>
      <c r="K15" s="49"/>
    </row>
    <row r="16" spans="1:11" ht="12.75">
      <c r="A16" s="384"/>
      <c r="B16" s="384"/>
      <c r="C16" s="384"/>
      <c r="D16" s="372" t="s">
        <v>696</v>
      </c>
      <c r="E16" s="47"/>
      <c r="F16" s="47"/>
      <c r="G16" s="47"/>
      <c r="H16" s="385">
        <f>SUM(H15:H15)</f>
        <v>233.94</v>
      </c>
      <c r="I16" s="385">
        <f>SUM(I15:I15)</f>
        <v>0</v>
      </c>
      <c r="J16" s="390">
        <f>SUM(H16:I16)</f>
        <v>233.94</v>
      </c>
      <c r="K16" s="49"/>
    </row>
    <row r="17" spans="1:11" ht="12.75">
      <c r="A17" s="370"/>
      <c r="B17" s="370"/>
      <c r="C17" s="370"/>
      <c r="D17" s="370"/>
      <c r="E17" s="370"/>
      <c r="F17" s="370"/>
      <c r="G17" s="370"/>
      <c r="H17" s="370"/>
      <c r="I17" s="370"/>
      <c r="J17" s="370"/>
      <c r="K17" s="50"/>
    </row>
    <row r="18" spans="1:11" ht="38.25">
      <c r="A18" s="371" t="s">
        <v>697</v>
      </c>
      <c r="B18" s="371"/>
      <c r="C18" s="373" t="s">
        <v>1588</v>
      </c>
      <c r="D18" s="374" t="s">
        <v>799</v>
      </c>
      <c r="E18" s="376" t="s">
        <v>421</v>
      </c>
      <c r="F18" s="376" t="s">
        <v>692</v>
      </c>
      <c r="G18" s="376" t="s">
        <v>693</v>
      </c>
      <c r="H18" s="376" t="s">
        <v>694</v>
      </c>
      <c r="I18" s="376" t="s">
        <v>695</v>
      </c>
      <c r="J18" s="376" t="s">
        <v>696</v>
      </c>
      <c r="K18" s="50"/>
    </row>
    <row r="19" spans="1:11" ht="12.75">
      <c r="A19" s="377" t="s">
        <v>698</v>
      </c>
      <c r="B19" s="392" t="s">
        <v>409</v>
      </c>
      <c r="C19" s="392">
        <v>37586</v>
      </c>
      <c r="D19" s="392" t="s">
        <v>1306</v>
      </c>
      <c r="E19" s="393" t="s">
        <v>1319</v>
      </c>
      <c r="F19" s="392">
        <v>2.4299999999999999E-2</v>
      </c>
      <c r="G19" s="394">
        <v>58.38</v>
      </c>
      <c r="H19" s="395">
        <f>F19*G19</f>
        <v>1.418634</v>
      </c>
      <c r="I19" s="396"/>
      <c r="J19" s="397">
        <f>H19</f>
        <v>1.418634</v>
      </c>
      <c r="K19" s="50"/>
    </row>
    <row r="20" spans="1:11" ht="25.5">
      <c r="A20" s="377" t="s">
        <v>698</v>
      </c>
      <c r="B20" s="392" t="s">
        <v>409</v>
      </c>
      <c r="C20" s="392">
        <v>39417</v>
      </c>
      <c r="D20" s="398" t="s">
        <v>1308</v>
      </c>
      <c r="E20" s="55" t="s">
        <v>818</v>
      </c>
      <c r="F20" s="392">
        <v>4.2119999999999997</v>
      </c>
      <c r="G20" s="399">
        <v>26.39</v>
      </c>
      <c r="H20" s="395">
        <f t="shared" ref="H20:H29" si="0">F20*G20</f>
        <v>111.15468</v>
      </c>
      <c r="I20" s="386"/>
      <c r="J20" s="397">
        <f t="shared" ref="J20:J29" si="1">H20</f>
        <v>111.15468</v>
      </c>
      <c r="K20" s="50"/>
    </row>
    <row r="21" spans="1:11" ht="25.5">
      <c r="A21" s="377" t="s">
        <v>698</v>
      </c>
      <c r="B21" s="392" t="s">
        <v>409</v>
      </c>
      <c r="C21" s="392">
        <v>39419</v>
      </c>
      <c r="D21" s="398" t="s">
        <v>1309</v>
      </c>
      <c r="E21" s="393" t="s">
        <v>13</v>
      </c>
      <c r="F21" s="392">
        <v>0.76039999999999996</v>
      </c>
      <c r="G21" s="399">
        <v>8.51</v>
      </c>
      <c r="H21" s="395">
        <f t="shared" si="0"/>
        <v>6.4710039999999998</v>
      </c>
      <c r="I21" s="386"/>
      <c r="J21" s="397">
        <f t="shared" si="1"/>
        <v>6.4710039999999998</v>
      </c>
      <c r="K21" s="50"/>
    </row>
    <row r="22" spans="1:11" ht="25.5">
      <c r="A22" s="377" t="s">
        <v>698</v>
      </c>
      <c r="B22" s="392" t="s">
        <v>409</v>
      </c>
      <c r="C22" s="392">
        <v>39422</v>
      </c>
      <c r="D22" s="398" t="s">
        <v>1310</v>
      </c>
      <c r="E22" s="393" t="s">
        <v>13</v>
      </c>
      <c r="F22" s="392">
        <v>1.9910000000000001</v>
      </c>
      <c r="G22" s="399">
        <v>9.66</v>
      </c>
      <c r="H22" s="395">
        <f t="shared" si="0"/>
        <v>19.233060000000002</v>
      </c>
      <c r="I22" s="386"/>
      <c r="J22" s="397">
        <f t="shared" si="1"/>
        <v>19.233060000000002</v>
      </c>
      <c r="K22" s="50"/>
    </row>
    <row r="23" spans="1:11" ht="25.5">
      <c r="A23" s="377" t="s">
        <v>698</v>
      </c>
      <c r="B23" s="392" t="s">
        <v>409</v>
      </c>
      <c r="C23" s="392" t="s">
        <v>609</v>
      </c>
      <c r="D23" s="398" t="s">
        <v>1307</v>
      </c>
      <c r="E23" s="393" t="s">
        <v>13</v>
      </c>
      <c r="F23" s="392" t="s">
        <v>610</v>
      </c>
      <c r="G23" s="394">
        <v>0.31</v>
      </c>
      <c r="H23" s="395">
        <f t="shared" si="0"/>
        <v>0.775837</v>
      </c>
      <c r="I23" s="386"/>
      <c r="J23" s="397">
        <f t="shared" si="1"/>
        <v>0.775837</v>
      </c>
      <c r="K23" s="50"/>
    </row>
    <row r="24" spans="1:11" ht="25.5">
      <c r="A24" s="377" t="s">
        <v>698</v>
      </c>
      <c r="B24" s="392" t="s">
        <v>409</v>
      </c>
      <c r="C24" s="392">
        <v>39432</v>
      </c>
      <c r="D24" s="398" t="s">
        <v>1311</v>
      </c>
      <c r="E24" s="393" t="s">
        <v>13</v>
      </c>
      <c r="F24" s="392">
        <v>0.74070000000000003</v>
      </c>
      <c r="G24" s="399">
        <v>2.77</v>
      </c>
      <c r="H24" s="395">
        <f t="shared" si="0"/>
        <v>2.051739</v>
      </c>
      <c r="I24" s="386"/>
      <c r="J24" s="397">
        <f t="shared" si="1"/>
        <v>2.051739</v>
      </c>
      <c r="K24" s="50"/>
    </row>
    <row r="25" spans="1:11" ht="25.5">
      <c r="A25" s="377" t="s">
        <v>698</v>
      </c>
      <c r="B25" s="392" t="s">
        <v>409</v>
      </c>
      <c r="C25" s="392" t="s">
        <v>611</v>
      </c>
      <c r="D25" s="398" t="s">
        <v>1312</v>
      </c>
      <c r="E25" s="393" t="s">
        <v>18</v>
      </c>
      <c r="F25" s="392" t="s">
        <v>612</v>
      </c>
      <c r="G25" s="399">
        <v>3.46</v>
      </c>
      <c r="H25" s="395">
        <f t="shared" si="0"/>
        <v>3.5731419999999998</v>
      </c>
      <c r="I25" s="386"/>
      <c r="J25" s="397">
        <f t="shared" si="1"/>
        <v>3.5731419999999998</v>
      </c>
      <c r="K25" s="50"/>
    </row>
    <row r="26" spans="1:11" ht="25.5">
      <c r="A26" s="377" t="s">
        <v>698</v>
      </c>
      <c r="B26" s="392" t="s">
        <v>409</v>
      </c>
      <c r="C26" s="392" t="s">
        <v>613</v>
      </c>
      <c r="D26" s="398" t="s">
        <v>1313</v>
      </c>
      <c r="E26" s="393" t="s">
        <v>737</v>
      </c>
      <c r="F26" s="392" t="s">
        <v>614</v>
      </c>
      <c r="G26" s="399">
        <v>0.14000000000000001</v>
      </c>
      <c r="H26" s="395">
        <f t="shared" si="0"/>
        <v>2.8010780000000004</v>
      </c>
      <c r="I26" s="386"/>
      <c r="J26" s="397">
        <f t="shared" si="1"/>
        <v>2.8010780000000004</v>
      </c>
      <c r="K26" s="50"/>
    </row>
    <row r="27" spans="1:11" ht="25.5">
      <c r="A27" s="377" t="s">
        <v>698</v>
      </c>
      <c r="B27" s="392" t="s">
        <v>409</v>
      </c>
      <c r="C27" s="392">
        <v>39437</v>
      </c>
      <c r="D27" s="398" t="s">
        <v>1590</v>
      </c>
      <c r="E27" s="393" t="s">
        <v>737</v>
      </c>
      <c r="F27" s="392" t="s">
        <v>614</v>
      </c>
      <c r="G27" s="399">
        <v>0.32</v>
      </c>
      <c r="H27" s="395">
        <f t="shared" ref="H27" si="2">F27*G27</f>
        <v>6.4024640000000002</v>
      </c>
      <c r="I27" s="386"/>
      <c r="J27" s="397">
        <f t="shared" ref="J27" si="3">H27</f>
        <v>6.4024640000000002</v>
      </c>
      <c r="K27" s="50"/>
    </row>
    <row r="28" spans="1:11" ht="25.5">
      <c r="A28" s="377" t="s">
        <v>698</v>
      </c>
      <c r="B28" s="392" t="s">
        <v>409</v>
      </c>
      <c r="C28" s="392">
        <v>39443</v>
      </c>
      <c r="D28" s="398" t="s">
        <v>1314</v>
      </c>
      <c r="E28" s="393" t="s">
        <v>737</v>
      </c>
      <c r="F28" s="392">
        <v>0.80759999999999998</v>
      </c>
      <c r="G28" s="399">
        <v>0.33</v>
      </c>
      <c r="H28" s="395">
        <f t="shared" si="0"/>
        <v>0.26650800000000002</v>
      </c>
      <c r="I28" s="386"/>
      <c r="J28" s="397">
        <f t="shared" si="1"/>
        <v>0.26650800000000002</v>
      </c>
      <c r="K28" s="50"/>
    </row>
    <row r="29" spans="1:11" ht="12.75">
      <c r="A29" s="400" t="s">
        <v>819</v>
      </c>
      <c r="B29" s="392" t="s">
        <v>409</v>
      </c>
      <c r="C29" s="392">
        <v>51156</v>
      </c>
      <c r="D29" s="401" t="s">
        <v>1315</v>
      </c>
      <c r="E29" s="55" t="s">
        <v>818</v>
      </c>
      <c r="F29" s="392">
        <v>1.1000000000000001</v>
      </c>
      <c r="G29" s="399">
        <v>36.39</v>
      </c>
      <c r="H29" s="395">
        <f t="shared" si="0"/>
        <v>40.029000000000003</v>
      </c>
      <c r="I29" s="386"/>
      <c r="J29" s="397">
        <f t="shared" si="1"/>
        <v>40.029000000000003</v>
      </c>
      <c r="K29" s="50"/>
    </row>
    <row r="30" spans="1:11" ht="12.75">
      <c r="A30" s="377" t="s">
        <v>698</v>
      </c>
      <c r="B30" s="392" t="s">
        <v>406</v>
      </c>
      <c r="C30" s="392" t="s">
        <v>443</v>
      </c>
      <c r="D30" s="398" t="s">
        <v>1316</v>
      </c>
      <c r="E30" s="393" t="s">
        <v>1318</v>
      </c>
      <c r="F30" s="402">
        <f>0.8356+0.068</f>
        <v>0.90359999999999996</v>
      </c>
      <c r="G30" s="399">
        <f>'CPU SINAPI ND OBRA'!J67</f>
        <v>32.74</v>
      </c>
      <c r="H30" s="399"/>
      <c r="I30" s="403">
        <f>F30*G30</f>
        <v>29.583864000000002</v>
      </c>
      <c r="J30" s="397">
        <f>I30</f>
        <v>29.583864000000002</v>
      </c>
      <c r="K30" s="50"/>
    </row>
    <row r="31" spans="1:11" ht="12.75">
      <c r="A31" s="377" t="s">
        <v>698</v>
      </c>
      <c r="B31" s="392" t="s">
        <v>406</v>
      </c>
      <c r="C31" s="392" t="s">
        <v>413</v>
      </c>
      <c r="D31" s="398" t="s">
        <v>1317</v>
      </c>
      <c r="E31" s="393" t="s">
        <v>1318</v>
      </c>
      <c r="F31" s="392">
        <f>0.2089+0.017</f>
        <v>0.22589999999999999</v>
      </c>
      <c r="G31" s="399">
        <f>'CPU SINAPI ND OBRA'!J63</f>
        <v>25.49</v>
      </c>
      <c r="H31" s="399"/>
      <c r="I31" s="403">
        <f>F31*G31</f>
        <v>5.7581909999999992</v>
      </c>
      <c r="J31" s="397">
        <f>I31</f>
        <v>5.7581909999999992</v>
      </c>
      <c r="K31" s="49"/>
    </row>
    <row r="32" spans="1:11" ht="12.75">
      <c r="A32" s="400"/>
      <c r="B32" s="404"/>
      <c r="C32" s="404"/>
      <c r="D32" s="405" t="s">
        <v>696</v>
      </c>
      <c r="E32" s="406"/>
      <c r="F32" s="407"/>
      <c r="G32" s="399"/>
      <c r="H32" s="408">
        <f>SUM(H19:H31)</f>
        <v>194.17714599999996</v>
      </c>
      <c r="I32" s="386">
        <f>SUM(I30:I31)</f>
        <v>35.342055000000002</v>
      </c>
      <c r="J32" s="386">
        <f>SUM(H32:I32)</f>
        <v>229.51920099999995</v>
      </c>
      <c r="K32" s="48"/>
    </row>
    <row r="33" spans="1:10" ht="12.75">
      <c r="A33" s="384" t="s">
        <v>1052</v>
      </c>
      <c r="B33" s="1029" t="s">
        <v>1591</v>
      </c>
      <c r="C33" s="1030"/>
      <c r="D33" s="1030"/>
      <c r="E33" s="409"/>
      <c r="F33" s="409"/>
      <c r="G33" s="409"/>
      <c r="H33" s="409"/>
      <c r="I33" s="409"/>
      <c r="J33" s="410"/>
    </row>
    <row r="34" spans="1:10" ht="12.75">
      <c r="A34" s="370"/>
      <c r="B34" s="370"/>
      <c r="C34" s="370"/>
      <c r="D34" s="370"/>
      <c r="E34" s="370"/>
      <c r="F34" s="370"/>
      <c r="G34" s="370"/>
      <c r="H34" s="370"/>
      <c r="I34" s="370"/>
      <c r="J34" s="370"/>
    </row>
    <row r="35" spans="1:10" ht="12.75">
      <c r="A35" s="370"/>
      <c r="B35" s="370"/>
      <c r="C35" s="370"/>
      <c r="D35" s="370"/>
      <c r="E35" s="370"/>
      <c r="F35" s="370"/>
      <c r="G35" s="370"/>
      <c r="H35" s="370"/>
      <c r="I35" s="370"/>
      <c r="J35" s="370"/>
    </row>
    <row r="36" spans="1:10" ht="25.5">
      <c r="A36" s="371" t="s">
        <v>697</v>
      </c>
      <c r="B36" s="372"/>
      <c r="C36" s="373" t="s">
        <v>1320</v>
      </c>
      <c r="D36" s="464" t="s">
        <v>1121</v>
      </c>
      <c r="E36" s="375" t="s">
        <v>684</v>
      </c>
      <c r="F36" s="556" t="s">
        <v>692</v>
      </c>
      <c r="G36" s="556" t="s">
        <v>693</v>
      </c>
      <c r="H36" s="556" t="s">
        <v>694</v>
      </c>
      <c r="I36" s="556" t="s">
        <v>695</v>
      </c>
      <c r="J36" s="556" t="s">
        <v>696</v>
      </c>
    </row>
    <row r="37" spans="1:10" ht="25.5">
      <c r="A37" s="377" t="s">
        <v>699</v>
      </c>
      <c r="B37" s="378" t="s">
        <v>409</v>
      </c>
      <c r="C37" s="378" t="s">
        <v>1129</v>
      </c>
      <c r="D37" s="477" t="s">
        <v>1121</v>
      </c>
      <c r="E37" s="393" t="s">
        <v>737</v>
      </c>
      <c r="F37" s="411">
        <v>1</v>
      </c>
      <c r="G37" s="412">
        <v>720</v>
      </c>
      <c r="H37" s="412">
        <f>G37</f>
        <v>720</v>
      </c>
      <c r="I37" s="412">
        <v>0</v>
      </c>
      <c r="J37" s="413">
        <f>H37+I37</f>
        <v>720</v>
      </c>
    </row>
    <row r="38" spans="1:10" ht="12.75">
      <c r="A38" s="384"/>
      <c r="B38" s="384"/>
      <c r="C38" s="384"/>
      <c r="D38" s="372" t="s">
        <v>696</v>
      </c>
      <c r="E38" s="411"/>
      <c r="F38" s="411"/>
      <c r="G38" s="411"/>
      <c r="H38" s="455">
        <f>SUM(H36:H37)</f>
        <v>720</v>
      </c>
      <c r="I38" s="455">
        <f>SUM(I36:I37)</f>
        <v>0</v>
      </c>
      <c r="J38" s="414">
        <f>H38+I38</f>
        <v>720</v>
      </c>
    </row>
    <row r="39" spans="1:10" ht="12.75">
      <c r="A39" s="557"/>
      <c r="B39" s="558"/>
      <c r="C39" s="558"/>
      <c r="D39" s="557"/>
      <c r="E39" s="559"/>
      <c r="F39" s="560"/>
      <c r="G39" s="560"/>
      <c r="H39" s="561"/>
      <c r="I39" s="561"/>
      <c r="J39" s="561"/>
    </row>
    <row r="40" spans="1:10" ht="25.5">
      <c r="A40" s="371" t="s">
        <v>697</v>
      </c>
      <c r="B40" s="372"/>
      <c r="C40" s="373" t="s">
        <v>1321</v>
      </c>
      <c r="D40" s="464" t="s">
        <v>1122</v>
      </c>
      <c r="E40" s="375" t="s">
        <v>684</v>
      </c>
      <c r="F40" s="556" t="s">
        <v>692</v>
      </c>
      <c r="G40" s="556" t="s">
        <v>693</v>
      </c>
      <c r="H40" s="556" t="s">
        <v>694</v>
      </c>
      <c r="I40" s="556" t="s">
        <v>695</v>
      </c>
      <c r="J40" s="556" t="s">
        <v>696</v>
      </c>
    </row>
    <row r="41" spans="1:10" ht="25.5">
      <c r="A41" s="377" t="s">
        <v>699</v>
      </c>
      <c r="B41" s="378" t="s">
        <v>409</v>
      </c>
      <c r="C41" s="378" t="s">
        <v>1460</v>
      </c>
      <c r="D41" s="477" t="s">
        <v>1122</v>
      </c>
      <c r="E41" s="393" t="s">
        <v>737</v>
      </c>
      <c r="F41" s="411">
        <v>1</v>
      </c>
      <c r="G41" s="412">
        <v>1250</v>
      </c>
      <c r="H41" s="412">
        <f>G41</f>
        <v>1250</v>
      </c>
      <c r="I41" s="412">
        <v>0</v>
      </c>
      <c r="J41" s="413">
        <f>H41+I41</f>
        <v>1250</v>
      </c>
    </row>
    <row r="42" spans="1:10" ht="12.75">
      <c r="A42" s="384"/>
      <c r="B42" s="384"/>
      <c r="C42" s="384"/>
      <c r="D42" s="372" t="s">
        <v>696</v>
      </c>
      <c r="E42" s="411"/>
      <c r="F42" s="411"/>
      <c r="G42" s="411"/>
      <c r="H42" s="455">
        <f>SUM(H40:H41)</f>
        <v>1250</v>
      </c>
      <c r="I42" s="455">
        <f>SUM(I40:I41)</f>
        <v>0</v>
      </c>
      <c r="J42" s="414">
        <f>H42+I42</f>
        <v>1250</v>
      </c>
    </row>
    <row r="43" spans="1:10" ht="12.75">
      <c r="A43" s="557"/>
      <c r="B43" s="558"/>
      <c r="C43" s="558"/>
      <c r="D43" s="557"/>
      <c r="E43" s="559"/>
      <c r="F43" s="560"/>
      <c r="G43" s="560"/>
      <c r="H43" s="561"/>
      <c r="I43" s="561"/>
      <c r="J43" s="561"/>
    </row>
    <row r="44" spans="1:10" ht="25.5">
      <c r="A44" s="371" t="s">
        <v>697</v>
      </c>
      <c r="B44" s="372"/>
      <c r="C44" s="373" t="s">
        <v>1322</v>
      </c>
      <c r="D44" s="464" t="s">
        <v>1123</v>
      </c>
      <c r="E44" s="375" t="s">
        <v>684</v>
      </c>
      <c r="F44" s="556" t="s">
        <v>692</v>
      </c>
      <c r="G44" s="556" t="s">
        <v>693</v>
      </c>
      <c r="H44" s="556" t="s">
        <v>694</v>
      </c>
      <c r="I44" s="556" t="s">
        <v>695</v>
      </c>
      <c r="J44" s="556" t="s">
        <v>696</v>
      </c>
    </row>
    <row r="45" spans="1:10" ht="25.5">
      <c r="A45" s="377" t="s">
        <v>699</v>
      </c>
      <c r="B45" s="378" t="s">
        <v>409</v>
      </c>
      <c r="C45" s="378" t="s">
        <v>1461</v>
      </c>
      <c r="D45" s="477" t="s">
        <v>1123</v>
      </c>
      <c r="E45" s="393" t="s">
        <v>737</v>
      </c>
      <c r="F45" s="411">
        <v>1</v>
      </c>
      <c r="G45" s="412">
        <v>1050</v>
      </c>
      <c r="H45" s="412">
        <f>G45</f>
        <v>1050</v>
      </c>
      <c r="I45" s="412">
        <v>0</v>
      </c>
      <c r="J45" s="413">
        <f>H45+I45</f>
        <v>1050</v>
      </c>
    </row>
    <row r="46" spans="1:10" ht="12.75">
      <c r="A46" s="384"/>
      <c r="B46" s="384"/>
      <c r="C46" s="384"/>
      <c r="D46" s="372" t="s">
        <v>696</v>
      </c>
      <c r="E46" s="411"/>
      <c r="F46" s="411"/>
      <c r="G46" s="411"/>
      <c r="H46" s="455">
        <f>SUM(H44:H45)</f>
        <v>1050</v>
      </c>
      <c r="I46" s="455">
        <f>SUM(I44:I45)</f>
        <v>0</v>
      </c>
      <c r="J46" s="414">
        <f>H46+I46</f>
        <v>1050</v>
      </c>
    </row>
    <row r="47" spans="1:10" ht="12.75">
      <c r="A47" s="557"/>
      <c r="B47" s="558"/>
      <c r="C47" s="558"/>
      <c r="D47" s="557"/>
      <c r="E47" s="559"/>
      <c r="F47" s="560"/>
      <c r="G47" s="560"/>
      <c r="H47" s="561"/>
      <c r="I47" s="561"/>
      <c r="J47" s="561"/>
    </row>
    <row r="48" spans="1:10" ht="25.5">
      <c r="A48" s="371" t="s">
        <v>697</v>
      </c>
      <c r="B48" s="372"/>
      <c r="C48" s="373" t="s">
        <v>1323</v>
      </c>
      <c r="D48" s="464" t="s">
        <v>1124</v>
      </c>
      <c r="E48" s="375" t="s">
        <v>684</v>
      </c>
      <c r="F48" s="556" t="s">
        <v>692</v>
      </c>
      <c r="G48" s="556" t="s">
        <v>693</v>
      </c>
      <c r="H48" s="556" t="s">
        <v>694</v>
      </c>
      <c r="I48" s="556" t="s">
        <v>695</v>
      </c>
      <c r="J48" s="556" t="s">
        <v>696</v>
      </c>
    </row>
    <row r="49" spans="1:13" ht="25.5">
      <c r="A49" s="377" t="s">
        <v>699</v>
      </c>
      <c r="B49" s="378" t="s">
        <v>409</v>
      </c>
      <c r="C49" s="378" t="s">
        <v>1462</v>
      </c>
      <c r="D49" s="477" t="s">
        <v>1124</v>
      </c>
      <c r="E49" s="393" t="s">
        <v>737</v>
      </c>
      <c r="F49" s="411">
        <v>1</v>
      </c>
      <c r="G49" s="412">
        <v>510</v>
      </c>
      <c r="H49" s="412">
        <f>G49</f>
        <v>510</v>
      </c>
      <c r="I49" s="412">
        <v>0</v>
      </c>
      <c r="J49" s="413">
        <f>H49+I49</f>
        <v>510</v>
      </c>
    </row>
    <row r="50" spans="1:13" ht="12.75">
      <c r="A50" s="384"/>
      <c r="B50" s="384"/>
      <c r="C50" s="384"/>
      <c r="D50" s="372" t="s">
        <v>696</v>
      </c>
      <c r="E50" s="411"/>
      <c r="F50" s="411"/>
      <c r="G50" s="411"/>
      <c r="H50" s="455">
        <f>SUM(H48:H49)</f>
        <v>510</v>
      </c>
      <c r="I50" s="455">
        <f>SUM(I48:I49)</f>
        <v>0</v>
      </c>
      <c r="J50" s="414">
        <f>H50+I50</f>
        <v>510</v>
      </c>
    </row>
    <row r="51" spans="1:13" ht="12.75">
      <c r="A51" s="401"/>
      <c r="B51" s="401"/>
      <c r="C51" s="401"/>
      <c r="D51" s="401"/>
      <c r="E51" s="63"/>
      <c r="F51" s="63"/>
      <c r="G51" s="63"/>
      <c r="H51" s="63"/>
      <c r="I51" s="63"/>
      <c r="J51" s="63"/>
    </row>
    <row r="52" spans="1:13" ht="12.75">
      <c r="A52" s="401"/>
      <c r="B52" s="401"/>
      <c r="C52" s="401"/>
      <c r="D52" s="401"/>
      <c r="E52" s="63"/>
      <c r="F52" s="63"/>
      <c r="G52" s="63"/>
      <c r="H52" s="63"/>
      <c r="I52" s="63"/>
      <c r="J52" s="63"/>
    </row>
    <row r="53" spans="1:13" ht="21" customHeight="1">
      <c r="A53" s="371" t="s">
        <v>697</v>
      </c>
      <c r="B53" s="372"/>
      <c r="C53" s="373" t="s">
        <v>1057</v>
      </c>
      <c r="D53" s="464" t="s">
        <v>1125</v>
      </c>
      <c r="E53" s="375" t="s">
        <v>684</v>
      </c>
      <c r="F53" s="556" t="s">
        <v>692</v>
      </c>
      <c r="G53" s="556" t="s">
        <v>693</v>
      </c>
      <c r="H53" s="556" t="s">
        <v>694</v>
      </c>
      <c r="I53" s="556" t="s">
        <v>695</v>
      </c>
      <c r="J53" s="556" t="s">
        <v>696</v>
      </c>
    </row>
    <row r="54" spans="1:13" ht="12.75">
      <c r="A54" s="377" t="s">
        <v>699</v>
      </c>
      <c r="B54" s="378" t="s">
        <v>409</v>
      </c>
      <c r="C54" s="378" t="s">
        <v>1463</v>
      </c>
      <c r="D54" s="477" t="s">
        <v>1125</v>
      </c>
      <c r="E54" s="393" t="s">
        <v>737</v>
      </c>
      <c r="F54" s="411">
        <v>1</v>
      </c>
      <c r="G54" s="412">
        <v>1500</v>
      </c>
      <c r="H54" s="412">
        <f>G54</f>
        <v>1500</v>
      </c>
      <c r="I54" s="412">
        <v>0</v>
      </c>
      <c r="J54" s="413">
        <f>H54+I54</f>
        <v>1500</v>
      </c>
    </row>
    <row r="55" spans="1:13" ht="12.75">
      <c r="A55" s="384"/>
      <c r="B55" s="384"/>
      <c r="C55" s="384"/>
      <c r="D55" s="372" t="s">
        <v>696</v>
      </c>
      <c r="E55" s="411"/>
      <c r="F55" s="411"/>
      <c r="G55" s="411"/>
      <c r="H55" s="455">
        <f>SUM(H53:H54)</f>
        <v>1500</v>
      </c>
      <c r="I55" s="455">
        <f>SUM(I53:I54)</f>
        <v>0</v>
      </c>
      <c r="J55" s="414">
        <f>H55+I55</f>
        <v>1500</v>
      </c>
    </row>
    <row r="56" spans="1:13" ht="12.75">
      <c r="A56" s="401"/>
      <c r="B56" s="401"/>
      <c r="C56" s="401"/>
      <c r="D56" s="401"/>
      <c r="E56" s="63"/>
      <c r="F56" s="63"/>
      <c r="G56" s="63"/>
      <c r="H56" s="63"/>
      <c r="I56" s="63"/>
      <c r="J56" s="63"/>
    </row>
    <row r="57" spans="1:13" ht="25.5">
      <c r="A57" s="371" t="s">
        <v>697</v>
      </c>
      <c r="B57" s="372"/>
      <c r="C57" s="373" t="s">
        <v>1058</v>
      </c>
      <c r="D57" s="464" t="s">
        <v>1126</v>
      </c>
      <c r="E57" s="375" t="s">
        <v>684</v>
      </c>
      <c r="F57" s="556" t="s">
        <v>692</v>
      </c>
      <c r="G57" s="556" t="s">
        <v>693</v>
      </c>
      <c r="H57" s="556" t="s">
        <v>694</v>
      </c>
      <c r="I57" s="556" t="s">
        <v>695</v>
      </c>
      <c r="J57" s="556" t="s">
        <v>696</v>
      </c>
    </row>
    <row r="58" spans="1:13" ht="25.5">
      <c r="A58" s="377" t="s">
        <v>699</v>
      </c>
      <c r="B58" s="378" t="s">
        <v>409</v>
      </c>
      <c r="C58" s="378" t="s">
        <v>1464</v>
      </c>
      <c r="D58" s="477" t="s">
        <v>1126</v>
      </c>
      <c r="E58" s="393" t="s">
        <v>737</v>
      </c>
      <c r="F58" s="411">
        <v>1</v>
      </c>
      <c r="G58" s="412">
        <f>G54*1.6</f>
        <v>2400</v>
      </c>
      <c r="H58" s="412">
        <f>G58</f>
        <v>2400</v>
      </c>
      <c r="I58" s="412">
        <v>0</v>
      </c>
      <c r="J58" s="413">
        <f>H58+I58</f>
        <v>2400</v>
      </c>
    </row>
    <row r="59" spans="1:13" ht="12.75">
      <c r="A59" s="384"/>
      <c r="B59" s="384"/>
      <c r="C59" s="384"/>
      <c r="D59" s="372" t="s">
        <v>696</v>
      </c>
      <c r="E59" s="411"/>
      <c r="F59" s="411"/>
      <c r="G59" s="411"/>
      <c r="H59" s="455">
        <f>SUM(H57:H58)</f>
        <v>2400</v>
      </c>
      <c r="I59" s="455">
        <f>SUM(I57:I58)</f>
        <v>0</v>
      </c>
      <c r="J59" s="414">
        <f>H59+I59</f>
        <v>2400</v>
      </c>
      <c r="L59" s="49"/>
      <c r="M59" s="50"/>
    </row>
    <row r="60" spans="1:13" ht="12.75">
      <c r="A60" s="401"/>
      <c r="B60" s="401"/>
      <c r="C60" s="401"/>
      <c r="D60" s="401"/>
      <c r="E60" s="63"/>
      <c r="F60" s="63"/>
      <c r="G60" s="63"/>
      <c r="H60" s="63"/>
      <c r="I60" s="63"/>
      <c r="J60" s="63"/>
      <c r="L60" s="49"/>
      <c r="M60" s="50"/>
    </row>
    <row r="61" spans="1:13" ht="25.5">
      <c r="A61" s="371" t="s">
        <v>697</v>
      </c>
      <c r="B61" s="372"/>
      <c r="C61" s="373" t="s">
        <v>1059</v>
      </c>
      <c r="D61" s="464" t="s">
        <v>1127</v>
      </c>
      <c r="E61" s="375" t="s">
        <v>684</v>
      </c>
      <c r="F61" s="556" t="s">
        <v>692</v>
      </c>
      <c r="G61" s="556" t="s">
        <v>693</v>
      </c>
      <c r="H61" s="556" t="s">
        <v>694</v>
      </c>
      <c r="I61" s="556" t="s">
        <v>695</v>
      </c>
      <c r="J61" s="562" t="s">
        <v>696</v>
      </c>
      <c r="L61" s="49"/>
      <c r="M61" s="50"/>
    </row>
    <row r="62" spans="1:13" ht="25.5">
      <c r="A62" s="377" t="s">
        <v>699</v>
      </c>
      <c r="B62" s="378" t="s">
        <v>409</v>
      </c>
      <c r="C62" s="378" t="s">
        <v>1465</v>
      </c>
      <c r="D62" s="477" t="s">
        <v>1127</v>
      </c>
      <c r="E62" s="393" t="s">
        <v>737</v>
      </c>
      <c r="F62" s="411">
        <v>1</v>
      </c>
      <c r="G62" s="412">
        <f>G54*3</f>
        <v>4500</v>
      </c>
      <c r="H62" s="412">
        <f>G62</f>
        <v>4500</v>
      </c>
      <c r="I62" s="412">
        <v>0</v>
      </c>
      <c r="J62" s="413">
        <f>H62+I62</f>
        <v>4500</v>
      </c>
      <c r="L62" s="49"/>
      <c r="M62" s="50"/>
    </row>
    <row r="63" spans="1:13" ht="12.75">
      <c r="A63" s="384"/>
      <c r="B63" s="384"/>
      <c r="C63" s="384"/>
      <c r="D63" s="372" t="s">
        <v>696</v>
      </c>
      <c r="E63" s="411"/>
      <c r="F63" s="411"/>
      <c r="G63" s="411"/>
      <c r="H63" s="455">
        <f>SUM(H61:H62)</f>
        <v>4500</v>
      </c>
      <c r="I63" s="455">
        <f>SUM(I61:I62)</f>
        <v>0</v>
      </c>
      <c r="J63" s="414">
        <f>H63+I63</f>
        <v>4500</v>
      </c>
      <c r="L63" s="49"/>
      <c r="M63" s="50"/>
    </row>
    <row r="64" spans="1:13" ht="12.75">
      <c r="A64" s="401"/>
      <c r="B64" s="401"/>
      <c r="C64" s="401"/>
      <c r="D64" s="401"/>
      <c r="E64" s="63"/>
      <c r="F64" s="63"/>
      <c r="G64" s="63"/>
      <c r="H64" s="63"/>
      <c r="I64" s="63"/>
      <c r="J64" s="63"/>
      <c r="L64" s="49"/>
      <c r="M64" s="50"/>
    </row>
    <row r="65" spans="1:13" ht="12.75">
      <c r="A65" s="371" t="s">
        <v>697</v>
      </c>
      <c r="B65" s="372"/>
      <c r="C65" s="373" t="s">
        <v>1060</v>
      </c>
      <c r="D65" s="464" t="s">
        <v>1128</v>
      </c>
      <c r="E65" s="375" t="s">
        <v>684</v>
      </c>
      <c r="F65" s="556" t="s">
        <v>692</v>
      </c>
      <c r="G65" s="556" t="s">
        <v>693</v>
      </c>
      <c r="H65" s="556" t="s">
        <v>694</v>
      </c>
      <c r="I65" s="556" t="s">
        <v>695</v>
      </c>
      <c r="J65" s="556" t="s">
        <v>696</v>
      </c>
      <c r="L65" s="49"/>
      <c r="M65" s="50"/>
    </row>
    <row r="66" spans="1:13" ht="12.75">
      <c r="A66" s="377" t="s">
        <v>699</v>
      </c>
      <c r="B66" s="378" t="s">
        <v>409</v>
      </c>
      <c r="C66" s="378" t="s">
        <v>1466</v>
      </c>
      <c r="D66" s="477" t="s">
        <v>1128</v>
      </c>
      <c r="E66" s="393" t="s">
        <v>737</v>
      </c>
      <c r="F66" s="411">
        <v>1</v>
      </c>
      <c r="G66" s="412">
        <v>6300</v>
      </c>
      <c r="H66" s="412">
        <f>G66</f>
        <v>6300</v>
      </c>
      <c r="I66" s="412">
        <v>0</v>
      </c>
      <c r="J66" s="413">
        <f>H66+I66</f>
        <v>6300</v>
      </c>
      <c r="L66" s="49"/>
      <c r="M66" s="50"/>
    </row>
    <row r="67" spans="1:13" ht="12.75">
      <c r="A67" s="384"/>
      <c r="B67" s="384"/>
      <c r="C67" s="384"/>
      <c r="D67" s="372" t="s">
        <v>696</v>
      </c>
      <c r="E67" s="411"/>
      <c r="F67" s="411"/>
      <c r="G67" s="411"/>
      <c r="H67" s="455">
        <f>SUM(H65:H66)</f>
        <v>6300</v>
      </c>
      <c r="I67" s="455">
        <f>SUM(I65:I66)</f>
        <v>0</v>
      </c>
      <c r="J67" s="414">
        <f>H67+I67</f>
        <v>6300</v>
      </c>
      <c r="L67" s="49"/>
      <c r="M67" s="50"/>
    </row>
    <row r="68" spans="1:13" ht="13.5" thickBot="1">
      <c r="A68" s="370"/>
      <c r="B68" s="370"/>
      <c r="C68" s="370"/>
      <c r="D68" s="370"/>
      <c r="E68" s="370"/>
      <c r="F68" s="370"/>
      <c r="G68" s="370"/>
      <c r="H68" s="370"/>
      <c r="I68" s="370"/>
      <c r="J68" s="370"/>
      <c r="L68" s="49"/>
      <c r="M68" s="50"/>
    </row>
    <row r="69" spans="1:13" ht="12.75">
      <c r="A69" s="563"/>
      <c r="B69" s="563"/>
      <c r="C69" s="563"/>
      <c r="D69" s="563"/>
      <c r="E69" s="564"/>
      <c r="F69" s="564"/>
      <c r="G69" s="564"/>
      <c r="H69" s="564"/>
      <c r="I69" s="564"/>
      <c r="J69" s="565"/>
      <c r="L69" s="49"/>
      <c r="M69" s="50"/>
    </row>
    <row r="70" spans="1:13" ht="12.75">
      <c r="A70" s="415" t="s">
        <v>697</v>
      </c>
      <c r="B70" s="416"/>
      <c r="C70" s="417" t="s">
        <v>1062</v>
      </c>
      <c r="D70" s="415" t="s">
        <v>1147</v>
      </c>
      <c r="E70" s="566" t="s">
        <v>421</v>
      </c>
      <c r="F70" s="417" t="s">
        <v>692</v>
      </c>
      <c r="G70" s="417" t="s">
        <v>693</v>
      </c>
      <c r="H70" s="417" t="s">
        <v>694</v>
      </c>
      <c r="I70" s="417" t="s">
        <v>695</v>
      </c>
      <c r="J70" s="417" t="s">
        <v>696</v>
      </c>
      <c r="L70" s="49"/>
      <c r="M70" s="50"/>
    </row>
    <row r="71" spans="1:13" ht="12.75">
      <c r="A71" s="418" t="s">
        <v>819</v>
      </c>
      <c r="B71" s="419" t="s">
        <v>409</v>
      </c>
      <c r="C71" s="419">
        <v>8184</v>
      </c>
      <c r="D71" s="420" t="s">
        <v>820</v>
      </c>
      <c r="E71" s="421" t="s">
        <v>818</v>
      </c>
      <c r="F71" s="421">
        <v>1.05</v>
      </c>
      <c r="G71" s="422">
        <v>175</v>
      </c>
      <c r="H71" s="382">
        <f>F71*G71</f>
        <v>183.75</v>
      </c>
      <c r="I71" s="421"/>
      <c r="J71" s="413">
        <f t="shared" ref="J71:J76" si="4">H71+I71</f>
        <v>183.75</v>
      </c>
      <c r="L71" s="49"/>
      <c r="M71" s="50"/>
    </row>
    <row r="72" spans="1:13" ht="12.75">
      <c r="A72" s="418" t="s">
        <v>819</v>
      </c>
      <c r="B72" s="419" t="s">
        <v>409</v>
      </c>
      <c r="C72" s="419">
        <v>12331</v>
      </c>
      <c r="D72" s="420" t="s">
        <v>821</v>
      </c>
      <c r="E72" s="421" t="s">
        <v>18</v>
      </c>
      <c r="F72" s="421">
        <v>4</v>
      </c>
      <c r="G72" s="422">
        <v>2.1800000000000002</v>
      </c>
      <c r="H72" s="382">
        <f>F72*G72</f>
        <v>8.7200000000000006</v>
      </c>
      <c r="I72" s="421"/>
      <c r="J72" s="413">
        <f t="shared" si="4"/>
        <v>8.7200000000000006</v>
      </c>
      <c r="L72" s="49"/>
      <c r="M72" s="50"/>
    </row>
    <row r="73" spans="1:13" ht="12.75">
      <c r="A73" s="418" t="s">
        <v>819</v>
      </c>
      <c r="B73" s="419" t="s">
        <v>409</v>
      </c>
      <c r="C73" s="419">
        <v>29615</v>
      </c>
      <c r="D73" s="420" t="s">
        <v>822</v>
      </c>
      <c r="E73" s="421" t="s">
        <v>737</v>
      </c>
      <c r="F73" s="421">
        <v>4</v>
      </c>
      <c r="G73" s="422">
        <v>9.68</v>
      </c>
      <c r="H73" s="382">
        <f>F73*G73</f>
        <v>38.72</v>
      </c>
      <c r="I73" s="421"/>
      <c r="J73" s="413">
        <f t="shared" si="4"/>
        <v>38.72</v>
      </c>
      <c r="L73" s="49"/>
      <c r="M73" s="50"/>
    </row>
    <row r="74" spans="1:13" ht="12.75">
      <c r="A74" s="418" t="s">
        <v>819</v>
      </c>
      <c r="B74" s="419" t="s">
        <v>409</v>
      </c>
      <c r="C74" s="419">
        <v>30357</v>
      </c>
      <c r="D74" s="420" t="s">
        <v>823</v>
      </c>
      <c r="E74" s="421" t="s">
        <v>737</v>
      </c>
      <c r="F74" s="421">
        <v>2</v>
      </c>
      <c r="G74" s="422">
        <v>74.540000000000006</v>
      </c>
      <c r="H74" s="382">
        <f>F74*G74</f>
        <v>149.08000000000001</v>
      </c>
      <c r="I74" s="421"/>
      <c r="J74" s="413">
        <f t="shared" si="4"/>
        <v>149.08000000000001</v>
      </c>
      <c r="L74" s="49"/>
      <c r="M74" s="50"/>
    </row>
    <row r="75" spans="1:13" ht="12.75">
      <c r="A75" s="418" t="s">
        <v>698</v>
      </c>
      <c r="B75" s="419" t="s">
        <v>406</v>
      </c>
      <c r="C75" s="423">
        <v>88274</v>
      </c>
      <c r="D75" s="420" t="s">
        <v>824</v>
      </c>
      <c r="E75" s="421" t="s">
        <v>740</v>
      </c>
      <c r="F75" s="421">
        <v>0.6</v>
      </c>
      <c r="G75" s="422">
        <v>26.92</v>
      </c>
      <c r="H75" s="418"/>
      <c r="I75" s="403">
        <f>F75*G75</f>
        <v>16.152000000000001</v>
      </c>
      <c r="J75" s="413">
        <f t="shared" si="4"/>
        <v>16.152000000000001</v>
      </c>
      <c r="L75" s="49"/>
      <c r="M75" s="50"/>
    </row>
    <row r="76" spans="1:13" ht="12.75">
      <c r="A76" s="418" t="s">
        <v>698</v>
      </c>
      <c r="B76" s="419" t="s">
        <v>406</v>
      </c>
      <c r="C76" s="423">
        <v>88316</v>
      </c>
      <c r="D76" s="420" t="s">
        <v>825</v>
      </c>
      <c r="E76" s="421" t="s">
        <v>740</v>
      </c>
      <c r="F76" s="421">
        <v>0.6</v>
      </c>
      <c r="G76" s="422">
        <v>25.49</v>
      </c>
      <c r="H76" s="421"/>
      <c r="I76" s="403">
        <f>F76*G76</f>
        <v>15.293999999999999</v>
      </c>
      <c r="J76" s="413">
        <f t="shared" si="4"/>
        <v>15.293999999999999</v>
      </c>
      <c r="L76" s="49"/>
      <c r="M76" s="50"/>
    </row>
    <row r="77" spans="1:13" ht="12.75">
      <c r="A77" s="420"/>
      <c r="B77" s="420"/>
      <c r="C77" s="420"/>
      <c r="D77" s="416" t="s">
        <v>696</v>
      </c>
      <c r="E77" s="417"/>
      <c r="F77" s="418"/>
      <c r="G77" s="418"/>
      <c r="H77" s="867">
        <f>SUM(H71:H76)</f>
        <v>380.27</v>
      </c>
      <c r="I77" s="866">
        <f>SUM(I75:I76)</f>
        <v>31.445999999999998</v>
      </c>
      <c r="J77" s="868">
        <f>SUM(J71:J76)</f>
        <v>411.71599999999995</v>
      </c>
    </row>
    <row r="78" spans="1:13" ht="12.75">
      <c r="A78" s="425"/>
      <c r="B78" s="425"/>
      <c r="C78" s="425"/>
      <c r="D78" s="426"/>
      <c r="E78" s="427"/>
      <c r="F78" s="428"/>
      <c r="G78" s="428"/>
      <c r="H78" s="427"/>
      <c r="I78" s="427"/>
      <c r="J78" s="429"/>
    </row>
    <row r="79" spans="1:13" ht="25.5">
      <c r="A79" s="372" t="s">
        <v>697</v>
      </c>
      <c r="B79" s="372"/>
      <c r="C79" s="373" t="s">
        <v>1061</v>
      </c>
      <c r="D79" s="374" t="s">
        <v>103</v>
      </c>
      <c r="E79" s="376" t="s">
        <v>405</v>
      </c>
      <c r="F79" s="376" t="s">
        <v>692</v>
      </c>
      <c r="G79" s="376" t="s">
        <v>693</v>
      </c>
      <c r="H79" s="376" t="s">
        <v>694</v>
      </c>
      <c r="I79" s="376" t="s">
        <v>695</v>
      </c>
      <c r="J79" s="376" t="s">
        <v>696</v>
      </c>
    </row>
    <row r="80" spans="1:13" ht="38.25">
      <c r="A80" s="377" t="s">
        <v>698</v>
      </c>
      <c r="B80" s="379" t="s">
        <v>409</v>
      </c>
      <c r="C80" s="379">
        <v>39513</v>
      </c>
      <c r="D80" s="567" t="s">
        <v>1324</v>
      </c>
      <c r="E80" s="406" t="s">
        <v>700</v>
      </c>
      <c r="F80" s="407">
        <v>1</v>
      </c>
      <c r="G80" s="407">
        <v>108.14</v>
      </c>
      <c r="H80" s="406">
        <f>F80*G80</f>
        <v>108.14</v>
      </c>
      <c r="I80" s="568"/>
      <c r="J80" s="569"/>
    </row>
    <row r="81" spans="1:11" ht="12.75">
      <c r="A81" s="400"/>
      <c r="B81" s="404"/>
      <c r="C81" s="404"/>
      <c r="D81" s="405" t="s">
        <v>696</v>
      </c>
      <c r="E81" s="1031"/>
      <c r="F81" s="1032"/>
      <c r="G81" s="407"/>
      <c r="H81" s="386">
        <f>SUM(H78:H80)</f>
        <v>108.14</v>
      </c>
      <c r="I81" s="386">
        <f>SUM(I78:I80)</f>
        <v>0</v>
      </c>
      <c r="J81" s="386">
        <f>SUM(H81:I81)</f>
        <v>108.14</v>
      </c>
    </row>
    <row r="82" spans="1:11" ht="12.75">
      <c r="A82" s="425"/>
      <c r="B82" s="425"/>
      <c r="C82" s="425"/>
      <c r="D82" s="426"/>
      <c r="E82" s="427"/>
      <c r="F82" s="428"/>
      <c r="G82" s="428"/>
      <c r="H82" s="427"/>
      <c r="I82" s="427"/>
      <c r="J82" s="429"/>
    </row>
    <row r="83" spans="1:11" ht="12.75">
      <c r="A83" s="372" t="s">
        <v>697</v>
      </c>
      <c r="B83" s="372"/>
      <c r="C83" s="373" t="s">
        <v>1063</v>
      </c>
      <c r="D83" s="374" t="s">
        <v>109</v>
      </c>
      <c r="E83" s="376" t="s">
        <v>421</v>
      </c>
      <c r="F83" s="411" t="s">
        <v>692</v>
      </c>
      <c r="G83" s="47" t="s">
        <v>693</v>
      </c>
      <c r="H83" s="411" t="s">
        <v>694</v>
      </c>
      <c r="I83" s="411" t="s">
        <v>695</v>
      </c>
      <c r="J83" s="411" t="s">
        <v>696</v>
      </c>
    </row>
    <row r="84" spans="1:11" ht="13.5" customHeight="1">
      <c r="A84" s="377" t="s">
        <v>698</v>
      </c>
      <c r="B84" s="378" t="s">
        <v>409</v>
      </c>
      <c r="C84" s="378">
        <v>3767</v>
      </c>
      <c r="D84" s="430" t="s">
        <v>1325</v>
      </c>
      <c r="E84" s="411" t="s">
        <v>737</v>
      </c>
      <c r="F84" s="431" t="s">
        <v>418</v>
      </c>
      <c r="G84" s="393">
        <v>1.35</v>
      </c>
      <c r="H84" s="382">
        <v>1.42</v>
      </c>
      <c r="I84" s="383"/>
      <c r="J84" s="57">
        <f>SUM(H84:I84)</f>
        <v>1.42</v>
      </c>
      <c r="K84" s="45"/>
    </row>
    <row r="85" spans="1:11" ht="12.75">
      <c r="A85" s="377" t="s">
        <v>698</v>
      </c>
      <c r="B85" s="378" t="s">
        <v>406</v>
      </c>
      <c r="C85" s="392">
        <v>88310</v>
      </c>
      <c r="D85" s="392" t="s">
        <v>1326</v>
      </c>
      <c r="E85" s="432" t="s">
        <v>740</v>
      </c>
      <c r="F85" s="431" t="s">
        <v>622</v>
      </c>
      <c r="G85" s="393">
        <v>33.909999999999997</v>
      </c>
      <c r="H85" s="47"/>
      <c r="I85" s="382">
        <f>F85*G85</f>
        <v>8.8369459999999993</v>
      </c>
      <c r="J85" s="57">
        <f>SUM(H85:I85)</f>
        <v>8.8369459999999993</v>
      </c>
    </row>
    <row r="86" spans="1:11" ht="12.75">
      <c r="A86" s="384"/>
      <c r="B86" s="384"/>
      <c r="C86" s="384"/>
      <c r="D86" s="372" t="s">
        <v>696</v>
      </c>
      <c r="E86" s="47"/>
      <c r="F86" s="47"/>
      <c r="G86" s="47"/>
      <c r="H86" s="433">
        <f>SUM(H84:H85)</f>
        <v>1.42</v>
      </c>
      <c r="I86" s="433">
        <f>SUM(I84:I85)</f>
        <v>8.8369459999999993</v>
      </c>
      <c r="J86" s="434">
        <f>SUM(H86:I86)</f>
        <v>10.256945999999999</v>
      </c>
    </row>
    <row r="87" spans="1:11" s="44" customFormat="1" ht="13.5" customHeight="1">
      <c r="A87" s="384" t="s">
        <v>1052</v>
      </c>
      <c r="B87" s="1029" t="s">
        <v>1053</v>
      </c>
      <c r="C87" s="1030"/>
      <c r="D87" s="1030"/>
      <c r="E87" s="435"/>
      <c r="F87" s="435"/>
      <c r="G87" s="435"/>
      <c r="H87" s="435"/>
      <c r="I87" s="435"/>
      <c r="J87" s="436"/>
    </row>
    <row r="88" spans="1:11" s="44" customFormat="1" ht="13.5" customHeight="1">
      <c r="A88" s="524"/>
      <c r="B88" s="459"/>
      <c r="C88" s="459"/>
      <c r="D88" s="459"/>
      <c r="E88" s="459"/>
      <c r="F88" s="459"/>
      <c r="G88" s="459"/>
      <c r="H88" s="459"/>
      <c r="I88" s="459"/>
      <c r="J88" s="570"/>
    </row>
    <row r="89" spans="1:11" ht="38.25">
      <c r="A89" s="437" t="s">
        <v>697</v>
      </c>
      <c r="B89" s="437"/>
      <c r="C89" s="438" t="s">
        <v>1327</v>
      </c>
      <c r="D89" s="439" t="s">
        <v>1107</v>
      </c>
      <c r="E89" s="440" t="s">
        <v>421</v>
      </c>
      <c r="F89" s="440" t="s">
        <v>692</v>
      </c>
      <c r="G89" s="376" t="s">
        <v>693</v>
      </c>
      <c r="H89" s="440" t="s">
        <v>694</v>
      </c>
      <c r="I89" s="440" t="s">
        <v>695</v>
      </c>
      <c r="J89" s="440" t="s">
        <v>696</v>
      </c>
    </row>
    <row r="90" spans="1:11" ht="12.75">
      <c r="A90" s="441" t="s">
        <v>819</v>
      </c>
      <c r="B90" s="441" t="s">
        <v>409</v>
      </c>
      <c r="C90" s="441">
        <v>157</v>
      </c>
      <c r="D90" s="442" t="s">
        <v>1188</v>
      </c>
      <c r="E90" s="55" t="s">
        <v>818</v>
      </c>
      <c r="F90" s="443">
        <v>3.5</v>
      </c>
      <c r="G90" s="443">
        <v>102.97</v>
      </c>
      <c r="H90" s="57">
        <f>F90*G90</f>
        <v>360.39499999999998</v>
      </c>
      <c r="I90" s="56"/>
      <c r="J90" s="57">
        <f>SUM(H90:I90)</f>
        <v>360.39499999999998</v>
      </c>
    </row>
    <row r="91" spans="1:11" ht="12.75">
      <c r="A91" s="441" t="s">
        <v>819</v>
      </c>
      <c r="B91" s="441" t="s">
        <v>409</v>
      </c>
      <c r="C91" s="441">
        <v>8272</v>
      </c>
      <c r="D91" s="444" t="s">
        <v>1189</v>
      </c>
      <c r="E91" s="55" t="s">
        <v>18</v>
      </c>
      <c r="F91" s="445">
        <v>0.38</v>
      </c>
      <c r="G91" s="443">
        <v>37.130000000000003</v>
      </c>
      <c r="H91" s="57">
        <f t="shared" ref="H91:H94" si="5">F91*G91</f>
        <v>14.109400000000001</v>
      </c>
      <c r="I91" s="56"/>
      <c r="J91" s="57">
        <f t="shared" ref="J91:J96" si="6">SUM(H91:I91)</f>
        <v>14.109400000000001</v>
      </c>
    </row>
    <row r="92" spans="1:11" ht="12.75">
      <c r="A92" s="441" t="s">
        <v>819</v>
      </c>
      <c r="B92" s="441" t="s">
        <v>409</v>
      </c>
      <c r="C92" s="441">
        <v>80104</v>
      </c>
      <c r="D92" s="444" t="s">
        <v>1190</v>
      </c>
      <c r="E92" s="55" t="s">
        <v>15</v>
      </c>
      <c r="F92" s="443">
        <v>1</v>
      </c>
      <c r="G92" s="443">
        <v>204.07</v>
      </c>
      <c r="H92" s="57">
        <f t="shared" si="5"/>
        <v>204.07</v>
      </c>
      <c r="I92" s="56"/>
      <c r="J92" s="57">
        <f t="shared" si="6"/>
        <v>204.07</v>
      </c>
    </row>
    <row r="93" spans="1:11" ht="12.75">
      <c r="A93" s="441" t="s">
        <v>698</v>
      </c>
      <c r="B93" s="441" t="s">
        <v>409</v>
      </c>
      <c r="C93" s="441">
        <v>11457</v>
      </c>
      <c r="D93" s="444" t="s">
        <v>1191</v>
      </c>
      <c r="E93" s="55" t="s">
        <v>15</v>
      </c>
      <c r="F93" s="443">
        <v>1</v>
      </c>
      <c r="G93" s="443">
        <v>52.34</v>
      </c>
      <c r="H93" s="57">
        <f t="shared" si="5"/>
        <v>52.34</v>
      </c>
      <c r="I93" s="56"/>
      <c r="J93" s="57">
        <f t="shared" si="6"/>
        <v>52.34</v>
      </c>
    </row>
    <row r="94" spans="1:11" ht="12.75">
      <c r="A94" s="441" t="s">
        <v>698</v>
      </c>
      <c r="B94" s="441" t="s">
        <v>409</v>
      </c>
      <c r="C94" s="441">
        <v>2432</v>
      </c>
      <c r="D94" s="444" t="s">
        <v>1192</v>
      </c>
      <c r="E94" s="55" t="s">
        <v>15</v>
      </c>
      <c r="F94" s="443">
        <v>3</v>
      </c>
      <c r="G94" s="443">
        <v>28.02</v>
      </c>
      <c r="H94" s="57">
        <f t="shared" si="5"/>
        <v>84.06</v>
      </c>
      <c r="I94" s="56"/>
      <c r="J94" s="57">
        <f t="shared" si="6"/>
        <v>84.06</v>
      </c>
    </row>
    <row r="95" spans="1:11" ht="12.75">
      <c r="A95" s="446" t="s">
        <v>698</v>
      </c>
      <c r="B95" s="441" t="s">
        <v>406</v>
      </c>
      <c r="C95" s="441">
        <v>88261</v>
      </c>
      <c r="D95" s="447" t="s">
        <v>1193</v>
      </c>
      <c r="E95" s="432" t="s">
        <v>740</v>
      </c>
      <c r="F95" s="443">
        <v>8.61</v>
      </c>
      <c r="G95" s="448">
        <v>34.28</v>
      </c>
      <c r="H95" s="57"/>
      <c r="I95" s="56">
        <f>F95*G95</f>
        <v>295.1508</v>
      </c>
      <c r="J95" s="57">
        <f t="shared" si="6"/>
        <v>295.1508</v>
      </c>
    </row>
    <row r="96" spans="1:11" ht="12.75">
      <c r="A96" s="446" t="s">
        <v>698</v>
      </c>
      <c r="B96" s="441" t="s">
        <v>406</v>
      </c>
      <c r="C96" s="441">
        <v>88316</v>
      </c>
      <c r="D96" s="447" t="s">
        <v>825</v>
      </c>
      <c r="E96" s="432" t="s">
        <v>740</v>
      </c>
      <c r="F96" s="443">
        <v>6.45</v>
      </c>
      <c r="G96" s="149">
        <v>25.49</v>
      </c>
      <c r="H96" s="57"/>
      <c r="I96" s="56">
        <f>F96*G96</f>
        <v>164.41049999999998</v>
      </c>
      <c r="J96" s="57">
        <f t="shared" si="6"/>
        <v>164.41049999999998</v>
      </c>
    </row>
    <row r="97" spans="1:10" ht="12.75">
      <c r="A97" s="449"/>
      <c r="B97" s="449"/>
      <c r="C97" s="450"/>
      <c r="D97" s="451" t="s">
        <v>696</v>
      </c>
      <c r="E97" s="452"/>
      <c r="F97" s="453"/>
      <c r="G97" s="454"/>
      <c r="H97" s="455">
        <f>SUM(H90:H96)</f>
        <v>714.97440000000006</v>
      </c>
      <c r="I97" s="455">
        <f>SUM(I90:I96)</f>
        <v>459.56129999999996</v>
      </c>
      <c r="J97" s="60">
        <f>SUM(H97:I97)</f>
        <v>1174.5356999999999</v>
      </c>
    </row>
    <row r="98" spans="1:10" ht="12.75">
      <c r="A98" s="401"/>
      <c r="B98" s="401"/>
      <c r="C98" s="401"/>
      <c r="D98" s="401"/>
      <c r="E98" s="63"/>
      <c r="F98" s="63"/>
      <c r="G98" s="63"/>
      <c r="H98" s="456"/>
      <c r="I98" s="63"/>
      <c r="J98" s="63"/>
    </row>
    <row r="99" spans="1:10" ht="12.75">
      <c r="A99" s="463" t="s">
        <v>697</v>
      </c>
      <c r="B99" s="463"/>
      <c r="C99" s="438" t="s">
        <v>1328</v>
      </c>
      <c r="D99" s="571" t="s">
        <v>1178</v>
      </c>
      <c r="E99" s="440" t="s">
        <v>411</v>
      </c>
      <c r="F99" s="440" t="s">
        <v>692</v>
      </c>
      <c r="G99" s="376" t="s">
        <v>693</v>
      </c>
      <c r="H99" s="440" t="s">
        <v>694</v>
      </c>
      <c r="I99" s="440" t="s">
        <v>695</v>
      </c>
      <c r="J99" s="440" t="s">
        <v>696</v>
      </c>
    </row>
    <row r="100" spans="1:10" ht="12.75">
      <c r="A100" s="441" t="s">
        <v>819</v>
      </c>
      <c r="B100" s="441" t="s">
        <v>409</v>
      </c>
      <c r="C100" s="441">
        <v>6105</v>
      </c>
      <c r="D100" s="442" t="s">
        <v>1178</v>
      </c>
      <c r="E100" s="411" t="s">
        <v>15</v>
      </c>
      <c r="F100" s="443">
        <v>1</v>
      </c>
      <c r="G100" s="443">
        <v>643.9</v>
      </c>
      <c r="H100" s="57">
        <f>F100*G100</f>
        <v>643.9</v>
      </c>
      <c r="I100" s="56"/>
      <c r="J100" s="57">
        <f>SUM(H100:I100)</f>
        <v>643.9</v>
      </c>
    </row>
    <row r="101" spans="1:10" ht="12.75">
      <c r="A101" s="446" t="s">
        <v>698</v>
      </c>
      <c r="B101" s="441" t="s">
        <v>406</v>
      </c>
      <c r="C101" s="441">
        <v>88274</v>
      </c>
      <c r="D101" s="447" t="s">
        <v>1179</v>
      </c>
      <c r="E101" s="432" t="s">
        <v>740</v>
      </c>
      <c r="F101" s="572">
        <v>0.48</v>
      </c>
      <c r="G101" s="573">
        <v>26.92</v>
      </c>
      <c r="H101" s="57"/>
      <c r="I101" s="56">
        <f>F101*G101</f>
        <v>12.9216</v>
      </c>
      <c r="J101" s="57">
        <f t="shared" ref="J101:J102" si="7">SUM(H101:I101)</f>
        <v>12.9216</v>
      </c>
    </row>
    <row r="102" spans="1:10" ht="12.75">
      <c r="A102" s="446" t="s">
        <v>698</v>
      </c>
      <c r="B102" s="441" t="s">
        <v>406</v>
      </c>
      <c r="C102" s="441">
        <v>88316</v>
      </c>
      <c r="D102" s="447" t="s">
        <v>825</v>
      </c>
      <c r="E102" s="432" t="s">
        <v>740</v>
      </c>
      <c r="F102" s="572">
        <v>0.15</v>
      </c>
      <c r="G102" s="540">
        <v>25.49</v>
      </c>
      <c r="H102" s="57"/>
      <c r="I102" s="56">
        <f>F102*G102</f>
        <v>3.8234999999999997</v>
      </c>
      <c r="J102" s="57">
        <f t="shared" si="7"/>
        <v>3.8234999999999997</v>
      </c>
    </row>
    <row r="103" spans="1:10" ht="12.75">
      <c r="A103" s="449"/>
      <c r="B103" s="449"/>
      <c r="C103" s="450"/>
      <c r="D103" s="451" t="s">
        <v>696</v>
      </c>
      <c r="E103" s="452"/>
      <c r="F103" s="453"/>
      <c r="G103" s="454"/>
      <c r="H103" s="455">
        <f>SUM(H100:H102)</f>
        <v>643.9</v>
      </c>
      <c r="I103" s="455">
        <f>SUM(I100:I102)</f>
        <v>16.745100000000001</v>
      </c>
      <c r="J103" s="60">
        <f>SUM(H103:I103)</f>
        <v>660.64509999999996</v>
      </c>
    </row>
    <row r="104" spans="1:10" ht="12.75">
      <c r="A104" s="469" t="s">
        <v>1052</v>
      </c>
      <c r="B104" s="1027" t="s">
        <v>1180</v>
      </c>
      <c r="C104" s="1028"/>
      <c r="D104" s="1028"/>
      <c r="E104" s="457"/>
      <c r="F104" s="457"/>
      <c r="G104" s="457"/>
      <c r="H104" s="457"/>
      <c r="I104" s="457"/>
      <c r="J104" s="458"/>
    </row>
    <row r="105" spans="1:10" ht="12.75">
      <c r="A105" s="524"/>
      <c r="B105" s="459"/>
      <c r="C105" s="459"/>
      <c r="D105" s="459"/>
      <c r="E105" s="460"/>
      <c r="F105" s="460"/>
      <c r="G105" s="460"/>
      <c r="H105" s="460"/>
      <c r="I105" s="460"/>
      <c r="J105" s="461"/>
    </row>
    <row r="106" spans="1:10" ht="12.75">
      <c r="A106" s="372" t="s">
        <v>697</v>
      </c>
      <c r="B106" s="372"/>
      <c r="C106" s="373" t="s">
        <v>1329</v>
      </c>
      <c r="D106" s="574" t="s">
        <v>119</v>
      </c>
      <c r="E106" s="440" t="s">
        <v>411</v>
      </c>
      <c r="F106" s="376" t="s">
        <v>692</v>
      </c>
      <c r="G106" s="376" t="s">
        <v>693</v>
      </c>
      <c r="H106" s="376" t="s">
        <v>694</v>
      </c>
      <c r="I106" s="376" t="s">
        <v>695</v>
      </c>
      <c r="J106" s="376" t="s">
        <v>696</v>
      </c>
    </row>
    <row r="107" spans="1:10" ht="12.75">
      <c r="A107" s="392" t="s">
        <v>698</v>
      </c>
      <c r="B107" s="392" t="s">
        <v>409</v>
      </c>
      <c r="C107" s="392">
        <v>36796</v>
      </c>
      <c r="D107" s="575" t="s">
        <v>119</v>
      </c>
      <c r="E107" s="411" t="s">
        <v>737</v>
      </c>
      <c r="F107" s="500">
        <v>1</v>
      </c>
      <c r="G107" s="500">
        <v>127.33</v>
      </c>
      <c r="H107" s="397">
        <f>F107*G107</f>
        <v>127.33</v>
      </c>
      <c r="I107" s="395"/>
      <c r="J107" s="57">
        <f>SUM(H107:I107)</f>
        <v>127.33</v>
      </c>
    </row>
    <row r="108" spans="1:10" ht="12.75">
      <c r="A108" s="377" t="s">
        <v>698</v>
      </c>
      <c r="B108" s="392" t="s">
        <v>409</v>
      </c>
      <c r="C108" s="392">
        <v>3146</v>
      </c>
      <c r="D108" s="575" t="s">
        <v>1332</v>
      </c>
      <c r="E108" s="411" t="s">
        <v>737</v>
      </c>
      <c r="F108" s="500">
        <v>0.02</v>
      </c>
      <c r="G108" s="500">
        <v>3.2</v>
      </c>
      <c r="H108" s="397">
        <f>F108*G108</f>
        <v>6.4000000000000001E-2</v>
      </c>
      <c r="I108" s="395"/>
      <c r="J108" s="57">
        <f t="shared" ref="J108:J110" si="8">SUM(H108:I108)</f>
        <v>6.4000000000000001E-2</v>
      </c>
    </row>
    <row r="109" spans="1:10" ht="12.75">
      <c r="A109" s="377" t="s">
        <v>698</v>
      </c>
      <c r="B109" s="392" t="s">
        <v>406</v>
      </c>
      <c r="C109" s="392">
        <v>88267</v>
      </c>
      <c r="D109" s="576" t="s">
        <v>741</v>
      </c>
      <c r="E109" s="432" t="s">
        <v>740</v>
      </c>
      <c r="F109" s="577">
        <v>0.64529999999999998</v>
      </c>
      <c r="G109" s="578">
        <v>32.130000000000003</v>
      </c>
      <c r="H109" s="397"/>
      <c r="I109" s="395">
        <f>F109*G109</f>
        <v>20.733489000000002</v>
      </c>
      <c r="J109" s="57">
        <f t="shared" si="8"/>
        <v>20.733489000000002</v>
      </c>
    </row>
    <row r="110" spans="1:10" ht="12.75">
      <c r="A110" s="377" t="s">
        <v>698</v>
      </c>
      <c r="B110" s="392" t="s">
        <v>406</v>
      </c>
      <c r="C110" s="392">
        <v>88248</v>
      </c>
      <c r="D110" s="576" t="s">
        <v>739</v>
      </c>
      <c r="E110" s="432" t="s">
        <v>740</v>
      </c>
      <c r="F110" s="577">
        <v>0.20330000000000001</v>
      </c>
      <c r="G110" s="578">
        <v>26.14</v>
      </c>
      <c r="H110" s="397"/>
      <c r="I110" s="395">
        <f>F110*G110</f>
        <v>5.3142620000000003</v>
      </c>
      <c r="J110" s="57">
        <f t="shared" si="8"/>
        <v>5.3142620000000003</v>
      </c>
    </row>
    <row r="111" spans="1:10" ht="12.75">
      <c r="A111" s="449"/>
      <c r="B111" s="449"/>
      <c r="C111" s="450"/>
      <c r="D111" s="451" t="s">
        <v>696</v>
      </c>
      <c r="E111" s="452"/>
      <c r="F111" s="453"/>
      <c r="G111" s="454"/>
      <c r="H111" s="455">
        <f>SUM(H107:H110)</f>
        <v>127.39399999999999</v>
      </c>
      <c r="I111" s="455">
        <f>SUM(I107:I110)</f>
        <v>26.047751000000002</v>
      </c>
      <c r="J111" s="386">
        <f>SUM(H111:I111)</f>
        <v>153.44175099999998</v>
      </c>
    </row>
    <row r="112" spans="1:10" ht="12.75">
      <c r="A112" s="384" t="s">
        <v>1052</v>
      </c>
      <c r="B112" s="1029" t="s">
        <v>1070</v>
      </c>
      <c r="C112" s="1030"/>
      <c r="D112" s="1030"/>
      <c r="E112" s="409"/>
      <c r="F112" s="409"/>
      <c r="G112" s="409"/>
      <c r="H112" s="409"/>
      <c r="I112" s="409"/>
      <c r="J112" s="410"/>
    </row>
    <row r="113" spans="1:10" ht="12.75">
      <c r="A113" s="401"/>
      <c r="B113" s="401"/>
      <c r="C113" s="401"/>
      <c r="D113" s="401"/>
      <c r="E113" s="63"/>
      <c r="F113" s="63"/>
      <c r="G113" s="63"/>
      <c r="H113" s="63"/>
      <c r="I113" s="63"/>
      <c r="J113" s="63"/>
    </row>
    <row r="114" spans="1:10" ht="12.75">
      <c r="A114" s="372" t="s">
        <v>697</v>
      </c>
      <c r="B114" s="372"/>
      <c r="C114" s="373" t="s">
        <v>1330</v>
      </c>
      <c r="D114" s="482" t="s">
        <v>118</v>
      </c>
      <c r="E114" s="440" t="s">
        <v>411</v>
      </c>
      <c r="F114" s="376" t="s">
        <v>692</v>
      </c>
      <c r="G114" s="376" t="s">
        <v>693</v>
      </c>
      <c r="H114" s="376" t="s">
        <v>694</v>
      </c>
      <c r="I114" s="376" t="s">
        <v>695</v>
      </c>
      <c r="J114" s="376" t="s">
        <v>696</v>
      </c>
    </row>
    <row r="115" spans="1:10" ht="12.75">
      <c r="A115" s="392" t="s">
        <v>698</v>
      </c>
      <c r="B115" s="392" t="s">
        <v>409</v>
      </c>
      <c r="C115" s="392">
        <v>36796</v>
      </c>
      <c r="D115" s="579" t="s">
        <v>1331</v>
      </c>
      <c r="E115" s="411" t="s">
        <v>737</v>
      </c>
      <c r="F115" s="500">
        <v>1</v>
      </c>
      <c r="G115" s="500">
        <v>102.48</v>
      </c>
      <c r="H115" s="397">
        <f>F115*G115</f>
        <v>102.48</v>
      </c>
      <c r="I115" s="395"/>
      <c r="J115" s="57">
        <f>SUM(H115:I115)</f>
        <v>102.48</v>
      </c>
    </row>
    <row r="116" spans="1:10" ht="12.75">
      <c r="A116" s="392" t="s">
        <v>698</v>
      </c>
      <c r="B116" s="392" t="s">
        <v>409</v>
      </c>
      <c r="C116" s="392">
        <v>3146</v>
      </c>
      <c r="D116" s="579" t="s">
        <v>1332</v>
      </c>
      <c r="E116" s="411" t="s">
        <v>737</v>
      </c>
      <c r="F116" s="500">
        <v>0.02</v>
      </c>
      <c r="G116" s="500">
        <v>3.2</v>
      </c>
      <c r="H116" s="397">
        <f>F116*G116</f>
        <v>6.4000000000000001E-2</v>
      </c>
      <c r="I116" s="395"/>
      <c r="J116" s="57">
        <f t="shared" ref="J116:J118" si="9">SUM(H116:I116)</f>
        <v>6.4000000000000001E-2</v>
      </c>
    </row>
    <row r="117" spans="1:10" ht="12.75">
      <c r="A117" s="377" t="s">
        <v>698</v>
      </c>
      <c r="B117" s="392" t="s">
        <v>406</v>
      </c>
      <c r="C117" s="392">
        <v>88267</v>
      </c>
      <c r="D117" s="579" t="s">
        <v>741</v>
      </c>
      <c r="E117" s="432" t="s">
        <v>740</v>
      </c>
      <c r="F117" s="577">
        <v>0.64529999999999998</v>
      </c>
      <c r="G117" s="578">
        <v>32.130000000000003</v>
      </c>
      <c r="H117" s="397"/>
      <c r="I117" s="395">
        <f>F117*G117</f>
        <v>20.733489000000002</v>
      </c>
      <c r="J117" s="57">
        <f t="shared" si="9"/>
        <v>20.733489000000002</v>
      </c>
    </row>
    <row r="118" spans="1:10" ht="12.75">
      <c r="A118" s="377" t="s">
        <v>698</v>
      </c>
      <c r="B118" s="392" t="s">
        <v>406</v>
      </c>
      <c r="C118" s="392">
        <v>88248</v>
      </c>
      <c r="D118" s="579" t="s">
        <v>739</v>
      </c>
      <c r="E118" s="432" t="s">
        <v>740</v>
      </c>
      <c r="F118" s="577">
        <v>0.20330000000000001</v>
      </c>
      <c r="G118" s="578">
        <v>26.14</v>
      </c>
      <c r="H118" s="397"/>
      <c r="I118" s="395">
        <f>F118*G118</f>
        <v>5.3142620000000003</v>
      </c>
      <c r="J118" s="57">
        <f t="shared" si="9"/>
        <v>5.3142620000000003</v>
      </c>
    </row>
    <row r="119" spans="1:10" ht="12.75">
      <c r="A119" s="449"/>
      <c r="B119" s="449"/>
      <c r="C119" s="450"/>
      <c r="D119" s="451" t="s">
        <v>696</v>
      </c>
      <c r="E119" s="452"/>
      <c r="F119" s="453"/>
      <c r="G119" s="454"/>
      <c r="H119" s="455">
        <f>SUM(H115:H118)</f>
        <v>102.544</v>
      </c>
      <c r="I119" s="455">
        <f>SUM(I115:I118)</f>
        <v>26.047751000000002</v>
      </c>
      <c r="J119" s="386">
        <f>SUM(H119:I119)</f>
        <v>128.59175099999999</v>
      </c>
    </row>
    <row r="120" spans="1:10" ht="12.75">
      <c r="A120" s="384" t="s">
        <v>1052</v>
      </c>
      <c r="B120" s="1029" t="s">
        <v>1070</v>
      </c>
      <c r="C120" s="1030"/>
      <c r="D120" s="1030"/>
      <c r="E120" s="409"/>
      <c r="F120" s="409"/>
      <c r="G120" s="409"/>
      <c r="H120" s="409"/>
      <c r="I120" s="409"/>
      <c r="J120" s="410"/>
    </row>
    <row r="121" spans="1:10" ht="12.75">
      <c r="A121" s="524"/>
      <c r="B121" s="459"/>
      <c r="C121" s="459"/>
      <c r="D121" s="459"/>
      <c r="E121" s="460"/>
      <c r="F121" s="460"/>
      <c r="G121" s="460"/>
      <c r="H121" s="460"/>
      <c r="I121" s="460"/>
      <c r="J121" s="461"/>
    </row>
    <row r="122" spans="1:10" ht="12.75">
      <c r="A122" s="372" t="s">
        <v>697</v>
      </c>
      <c r="B122" s="372"/>
      <c r="C122" s="373" t="s">
        <v>1333</v>
      </c>
      <c r="D122" s="464" t="s">
        <v>1538</v>
      </c>
      <c r="E122" s="440" t="s">
        <v>411</v>
      </c>
      <c r="F122" s="376" t="s">
        <v>692</v>
      </c>
      <c r="G122" s="376" t="s">
        <v>693</v>
      </c>
      <c r="H122" s="376" t="s">
        <v>694</v>
      </c>
      <c r="I122" s="376" t="s">
        <v>695</v>
      </c>
      <c r="J122" s="376" t="s">
        <v>696</v>
      </c>
    </row>
    <row r="123" spans="1:10" ht="12.75">
      <c r="A123" s="377" t="s">
        <v>699</v>
      </c>
      <c r="B123" s="379" t="s">
        <v>831</v>
      </c>
      <c r="C123" s="392"/>
      <c r="D123" s="579" t="s">
        <v>1539</v>
      </c>
      <c r="E123" s="411" t="s">
        <v>737</v>
      </c>
      <c r="F123" s="500">
        <v>1</v>
      </c>
      <c r="G123" s="580">
        <v>325.73</v>
      </c>
      <c r="H123" s="397">
        <f>F123*G123</f>
        <v>325.73</v>
      </c>
      <c r="I123" s="395"/>
      <c r="J123" s="57">
        <f>SUM(H123:I123)</f>
        <v>325.73</v>
      </c>
    </row>
    <row r="124" spans="1:10" ht="12.75">
      <c r="A124" s="377" t="s">
        <v>698</v>
      </c>
      <c r="B124" s="392" t="s">
        <v>406</v>
      </c>
      <c r="C124" s="392">
        <v>88267</v>
      </c>
      <c r="D124" s="579" t="s">
        <v>741</v>
      </c>
      <c r="E124" s="432" t="s">
        <v>740</v>
      </c>
      <c r="F124" s="411" t="s">
        <v>494</v>
      </c>
      <c r="G124" s="578">
        <v>32.130000000000003</v>
      </c>
      <c r="H124" s="397"/>
      <c r="I124" s="395">
        <f>F124*G124</f>
        <v>10.159506</v>
      </c>
      <c r="J124" s="57">
        <f t="shared" ref="J124:J125" si="10">SUM(H124:I124)</f>
        <v>10.159506</v>
      </c>
    </row>
    <row r="125" spans="1:10" ht="12.75">
      <c r="A125" s="377" t="s">
        <v>698</v>
      </c>
      <c r="B125" s="392" t="s">
        <v>406</v>
      </c>
      <c r="C125" s="441">
        <v>88316</v>
      </c>
      <c r="D125" s="447" t="s">
        <v>825</v>
      </c>
      <c r="E125" s="432" t="s">
        <v>740</v>
      </c>
      <c r="F125" s="411" t="s">
        <v>590</v>
      </c>
      <c r="G125" s="578">
        <v>25.49</v>
      </c>
      <c r="H125" s="397"/>
      <c r="I125" s="395">
        <f>F125*G125</f>
        <v>2.5388039999999998</v>
      </c>
      <c r="J125" s="57">
        <f t="shared" si="10"/>
        <v>2.5388039999999998</v>
      </c>
    </row>
    <row r="126" spans="1:10" ht="12.75">
      <c r="A126" s="449"/>
      <c r="B126" s="449"/>
      <c r="C126" s="450"/>
      <c r="D126" s="451" t="s">
        <v>696</v>
      </c>
      <c r="E126" s="452"/>
      <c r="F126" s="453"/>
      <c r="G126" s="454"/>
      <c r="H126" s="455">
        <f>SUM(H123:H125)</f>
        <v>325.73</v>
      </c>
      <c r="I126" s="455">
        <f>SUM(I123:I125)</f>
        <v>12.698309999999999</v>
      </c>
      <c r="J126" s="386">
        <f>SUM(H126:I126)</f>
        <v>338.42831000000001</v>
      </c>
    </row>
    <row r="127" spans="1:10" ht="12.75">
      <c r="A127" s="384" t="s">
        <v>1052</v>
      </c>
      <c r="B127" s="1029" t="s">
        <v>1069</v>
      </c>
      <c r="C127" s="1030"/>
      <c r="D127" s="1030"/>
      <c r="E127" s="409"/>
      <c r="F127" s="409"/>
      <c r="G127" s="409"/>
      <c r="H127" s="409"/>
      <c r="I127" s="409"/>
      <c r="J127" s="410"/>
    </row>
    <row r="128" spans="1:10" ht="12.75">
      <c r="A128" s="524"/>
      <c r="B128" s="459"/>
      <c r="C128" s="459"/>
      <c r="D128" s="459"/>
      <c r="E128" s="460"/>
      <c r="F128" s="460"/>
      <c r="G128" s="460"/>
      <c r="H128" s="460"/>
      <c r="I128" s="460"/>
      <c r="J128" s="461"/>
    </row>
    <row r="129" spans="1:10" ht="12.75">
      <c r="A129" s="463" t="s">
        <v>697</v>
      </c>
      <c r="B129" s="463"/>
      <c r="C129" s="438" t="s">
        <v>1071</v>
      </c>
      <c r="D129" s="581" t="s">
        <v>1111</v>
      </c>
      <c r="E129" s="440" t="s">
        <v>411</v>
      </c>
      <c r="F129" s="440" t="s">
        <v>692</v>
      </c>
      <c r="G129" s="376" t="s">
        <v>693</v>
      </c>
      <c r="H129" s="440" t="s">
        <v>694</v>
      </c>
      <c r="I129" s="440" t="s">
        <v>695</v>
      </c>
      <c r="J129" s="440" t="s">
        <v>696</v>
      </c>
    </row>
    <row r="130" spans="1:10" ht="12.75">
      <c r="A130" s="446" t="s">
        <v>819</v>
      </c>
      <c r="B130" s="582" t="s">
        <v>409</v>
      </c>
      <c r="C130" s="441">
        <v>40393</v>
      </c>
      <c r="D130" s="494" t="s">
        <v>1176</v>
      </c>
      <c r="E130" s="411" t="s">
        <v>737</v>
      </c>
      <c r="F130" s="443">
        <v>1</v>
      </c>
      <c r="G130" s="466">
        <v>118</v>
      </c>
      <c r="H130" s="57">
        <f>F130*G130</f>
        <v>118</v>
      </c>
      <c r="I130" s="56"/>
      <c r="J130" s="57">
        <f>SUM(H130:I130)</f>
        <v>118</v>
      </c>
    </row>
    <row r="131" spans="1:10" ht="12.75">
      <c r="A131" s="446" t="s">
        <v>698</v>
      </c>
      <c r="B131" s="441" t="s">
        <v>406</v>
      </c>
      <c r="C131" s="441">
        <v>88267</v>
      </c>
      <c r="D131" s="447" t="s">
        <v>741</v>
      </c>
      <c r="E131" s="432" t="s">
        <v>740</v>
      </c>
      <c r="F131" s="55">
        <v>0.95</v>
      </c>
      <c r="G131" s="466">
        <v>32.130000000000003</v>
      </c>
      <c r="H131" s="57"/>
      <c r="I131" s="56">
        <f>F131*G131+0.01</f>
        <v>30.533500000000004</v>
      </c>
      <c r="J131" s="57">
        <f t="shared" ref="J131:J132" si="11">SUM(H131:I131)</f>
        <v>30.533500000000004</v>
      </c>
    </row>
    <row r="132" spans="1:10" ht="12.75">
      <c r="A132" s="446" t="s">
        <v>698</v>
      </c>
      <c r="B132" s="441" t="s">
        <v>406</v>
      </c>
      <c r="C132" s="441">
        <v>88316</v>
      </c>
      <c r="D132" s="447" t="s">
        <v>825</v>
      </c>
      <c r="E132" s="432" t="s">
        <v>740</v>
      </c>
      <c r="F132" s="64">
        <v>0.3</v>
      </c>
      <c r="G132" s="466">
        <v>25.49</v>
      </c>
      <c r="H132" s="57"/>
      <c r="I132" s="56">
        <f>F132*G132+0.01</f>
        <v>7.6569999999999991</v>
      </c>
      <c r="J132" s="57">
        <f t="shared" si="11"/>
        <v>7.6569999999999991</v>
      </c>
    </row>
    <row r="133" spans="1:10" ht="12.75">
      <c r="A133" s="449"/>
      <c r="B133" s="449"/>
      <c r="C133" s="450"/>
      <c r="D133" s="451" t="s">
        <v>696</v>
      </c>
      <c r="E133" s="452"/>
      <c r="F133" s="453"/>
      <c r="G133" s="454"/>
      <c r="H133" s="455">
        <f>SUM(H130:H132)</f>
        <v>118</v>
      </c>
      <c r="I133" s="455">
        <f>SUM(I130:I132)</f>
        <v>38.1905</v>
      </c>
      <c r="J133" s="60">
        <f>SUM(H133:I133)</f>
        <v>156.19049999999999</v>
      </c>
    </row>
    <row r="134" spans="1:10" ht="12.75">
      <c r="A134" s="469" t="s">
        <v>1052</v>
      </c>
      <c r="B134" s="1027" t="s">
        <v>1177</v>
      </c>
      <c r="C134" s="1028"/>
      <c r="D134" s="1028"/>
      <c r="E134" s="457"/>
      <c r="F134" s="457"/>
      <c r="G134" s="457"/>
      <c r="H134" s="457"/>
      <c r="I134" s="457"/>
      <c r="J134" s="458"/>
    </row>
    <row r="135" spans="1:10" ht="12.75">
      <c r="A135" s="524"/>
      <c r="B135" s="459"/>
      <c r="C135" s="459"/>
      <c r="D135" s="459"/>
      <c r="E135" s="460"/>
      <c r="F135" s="460"/>
      <c r="G135" s="460"/>
      <c r="H135" s="460"/>
      <c r="I135" s="460"/>
      <c r="J135" s="461"/>
    </row>
    <row r="136" spans="1:10" ht="12.75">
      <c r="A136" s="537" t="s">
        <v>697</v>
      </c>
      <c r="B136" s="463"/>
      <c r="C136" s="438" t="s">
        <v>1072</v>
      </c>
      <c r="D136" s="464" t="s">
        <v>1537</v>
      </c>
      <c r="E136" s="440" t="s">
        <v>411</v>
      </c>
      <c r="F136" s="440" t="s">
        <v>692</v>
      </c>
      <c r="G136" s="376" t="s">
        <v>693</v>
      </c>
      <c r="H136" s="440" t="s">
        <v>694</v>
      </c>
      <c r="I136" s="440" t="s">
        <v>695</v>
      </c>
      <c r="J136" s="440" t="s">
        <v>696</v>
      </c>
    </row>
    <row r="137" spans="1:10" ht="12.75">
      <c r="A137" s="446" t="s">
        <v>698</v>
      </c>
      <c r="B137" s="582" t="s">
        <v>409</v>
      </c>
      <c r="C137" s="441">
        <v>37401</v>
      </c>
      <c r="D137" s="494" t="s">
        <v>813</v>
      </c>
      <c r="E137" s="411" t="s">
        <v>737</v>
      </c>
      <c r="F137" s="443">
        <v>1</v>
      </c>
      <c r="G137" s="149">
        <v>41.54</v>
      </c>
      <c r="H137" s="583">
        <f>F137*G137</f>
        <v>41.54</v>
      </c>
      <c r="I137" s="149"/>
      <c r="J137" s="57">
        <f>SUM(H137:I137)</f>
        <v>41.54</v>
      </c>
    </row>
    <row r="138" spans="1:10" ht="12.75">
      <c r="A138" s="446" t="s">
        <v>698</v>
      </c>
      <c r="B138" s="441" t="s">
        <v>406</v>
      </c>
      <c r="C138" s="441">
        <v>88267</v>
      </c>
      <c r="D138" s="447" t="s">
        <v>741</v>
      </c>
      <c r="E138" s="432" t="s">
        <v>740</v>
      </c>
      <c r="F138" s="55" t="s">
        <v>494</v>
      </c>
      <c r="G138" s="149">
        <v>32.130000000000003</v>
      </c>
      <c r="H138" s="583"/>
      <c r="I138" s="149">
        <f>F138*G138</f>
        <v>10.159506</v>
      </c>
      <c r="J138" s="57">
        <f t="shared" ref="J138:J139" si="12">SUM(H138:I138)</f>
        <v>10.159506</v>
      </c>
    </row>
    <row r="139" spans="1:10" ht="12.75">
      <c r="A139" s="446" t="s">
        <v>698</v>
      </c>
      <c r="B139" s="441" t="s">
        <v>406</v>
      </c>
      <c r="C139" s="441">
        <v>88248</v>
      </c>
      <c r="D139" s="447" t="s">
        <v>739</v>
      </c>
      <c r="E139" s="432" t="s">
        <v>740</v>
      </c>
      <c r="F139" s="55" t="s">
        <v>590</v>
      </c>
      <c r="G139" s="149">
        <v>26.14</v>
      </c>
      <c r="H139" s="583"/>
      <c r="I139" s="149">
        <f>F139*G139</f>
        <v>2.6035439999999999</v>
      </c>
      <c r="J139" s="57">
        <f t="shared" si="12"/>
        <v>2.6035439999999999</v>
      </c>
    </row>
    <row r="140" spans="1:10" ht="12.75">
      <c r="A140" s="449"/>
      <c r="B140" s="449"/>
      <c r="C140" s="450"/>
      <c r="D140" s="451" t="s">
        <v>696</v>
      </c>
      <c r="E140" s="452"/>
      <c r="F140" s="453"/>
      <c r="G140" s="454"/>
      <c r="H140" s="455">
        <f>SUM(H137:H139)</f>
        <v>41.54</v>
      </c>
      <c r="I140" s="455">
        <f>SUM(I137:I139)</f>
        <v>12.76305</v>
      </c>
      <c r="J140" s="60">
        <f>SUM(H140:I140)</f>
        <v>54.303049999999999</v>
      </c>
    </row>
    <row r="141" spans="1:10" ht="12.75">
      <c r="A141" s="469" t="s">
        <v>1052</v>
      </c>
      <c r="B141" s="1027" t="s">
        <v>1069</v>
      </c>
      <c r="C141" s="1028"/>
      <c r="D141" s="1028"/>
      <c r="E141" s="457"/>
      <c r="F141" s="457"/>
      <c r="G141" s="457"/>
      <c r="H141" s="457"/>
      <c r="I141" s="457"/>
      <c r="J141" s="458"/>
    </row>
    <row r="142" spans="1:10" ht="12.75">
      <c r="A142" s="524"/>
      <c r="B142" s="459"/>
      <c r="C142" s="459"/>
      <c r="D142" s="459"/>
      <c r="E142" s="460"/>
      <c r="F142" s="460"/>
      <c r="G142" s="460"/>
      <c r="H142" s="460"/>
      <c r="I142" s="460"/>
      <c r="J142" s="461"/>
    </row>
    <row r="143" spans="1:10" ht="12.75">
      <c r="A143" s="463" t="s">
        <v>697</v>
      </c>
      <c r="B143" s="463"/>
      <c r="C143" s="438" t="s">
        <v>1073</v>
      </c>
      <c r="D143" s="581" t="s">
        <v>814</v>
      </c>
      <c r="E143" s="440" t="s">
        <v>421</v>
      </c>
      <c r="F143" s="440" t="s">
        <v>692</v>
      </c>
      <c r="G143" s="376" t="s">
        <v>693</v>
      </c>
      <c r="H143" s="440" t="s">
        <v>694</v>
      </c>
      <c r="I143" s="440" t="s">
        <v>695</v>
      </c>
      <c r="J143" s="440" t="s">
        <v>696</v>
      </c>
    </row>
    <row r="144" spans="1:10" ht="12.75">
      <c r="A144" s="446" t="s">
        <v>819</v>
      </c>
      <c r="B144" s="582" t="s">
        <v>409</v>
      </c>
      <c r="C144" s="441">
        <v>5984</v>
      </c>
      <c r="D144" s="494" t="s">
        <v>1171</v>
      </c>
      <c r="E144" s="55" t="s">
        <v>818</v>
      </c>
      <c r="F144" s="443">
        <v>1.05</v>
      </c>
      <c r="G144" s="466">
        <v>59.9</v>
      </c>
      <c r="H144" s="57">
        <f>F144*G144</f>
        <v>62.895000000000003</v>
      </c>
      <c r="I144" s="56"/>
      <c r="J144" s="57">
        <f>SUM(H144:I144)</f>
        <v>62.895000000000003</v>
      </c>
    </row>
    <row r="145" spans="1:10" ht="12.75">
      <c r="A145" s="446" t="s">
        <v>819</v>
      </c>
      <c r="B145" s="582" t="s">
        <v>409</v>
      </c>
      <c r="C145" s="441">
        <v>11802</v>
      </c>
      <c r="D145" s="584" t="s">
        <v>1172</v>
      </c>
      <c r="E145" s="55" t="s">
        <v>13</v>
      </c>
      <c r="F145" s="443">
        <v>4</v>
      </c>
      <c r="G145" s="466">
        <v>21.66</v>
      </c>
      <c r="H145" s="57">
        <f>F145*G145</f>
        <v>86.64</v>
      </c>
      <c r="I145" s="56"/>
      <c r="J145" s="57">
        <f t="shared" ref="J145:J148" si="13">SUM(H145:I145)</f>
        <v>86.64</v>
      </c>
    </row>
    <row r="146" spans="1:10" ht="12.75">
      <c r="A146" s="446" t="s">
        <v>698</v>
      </c>
      <c r="B146" s="582" t="s">
        <v>409</v>
      </c>
      <c r="C146" s="441">
        <v>11186</v>
      </c>
      <c r="D146" s="584" t="s">
        <v>1173</v>
      </c>
      <c r="E146" s="55" t="s">
        <v>818</v>
      </c>
      <c r="F146" s="443">
        <v>1</v>
      </c>
      <c r="G146" s="466">
        <v>360.05</v>
      </c>
      <c r="H146" s="57">
        <f>F146*G146</f>
        <v>360.05</v>
      </c>
      <c r="I146" s="56"/>
      <c r="J146" s="57">
        <f t="shared" si="13"/>
        <v>360.05</v>
      </c>
    </row>
    <row r="147" spans="1:10" ht="12.75">
      <c r="A147" s="446" t="s">
        <v>698</v>
      </c>
      <c r="B147" s="441" t="s">
        <v>406</v>
      </c>
      <c r="C147" s="441">
        <v>88325</v>
      </c>
      <c r="D147" s="447" t="s">
        <v>1174</v>
      </c>
      <c r="E147" s="432" t="s">
        <v>740</v>
      </c>
      <c r="F147" s="55">
        <v>0.7</v>
      </c>
      <c r="G147" s="466">
        <v>29.15</v>
      </c>
      <c r="H147" s="57"/>
      <c r="I147" s="56">
        <f>F147*G147</f>
        <v>20.404999999999998</v>
      </c>
      <c r="J147" s="57">
        <f t="shared" si="13"/>
        <v>20.404999999999998</v>
      </c>
    </row>
    <row r="148" spans="1:10" ht="12.75">
      <c r="A148" s="446" t="s">
        <v>698</v>
      </c>
      <c r="B148" s="441" t="s">
        <v>406</v>
      </c>
      <c r="C148" s="441">
        <v>88316</v>
      </c>
      <c r="D148" s="447" t="s">
        <v>825</v>
      </c>
      <c r="E148" s="432" t="s">
        <v>740</v>
      </c>
      <c r="F148" s="55">
        <v>0.7</v>
      </c>
      <c r="G148" s="466">
        <v>25.49</v>
      </c>
      <c r="H148" s="57"/>
      <c r="I148" s="56">
        <f>F148*G148</f>
        <v>17.842999999999996</v>
      </c>
      <c r="J148" s="57">
        <f t="shared" si="13"/>
        <v>17.842999999999996</v>
      </c>
    </row>
    <row r="149" spans="1:10" ht="12.75">
      <c r="A149" s="449"/>
      <c r="B149" s="449"/>
      <c r="C149" s="450"/>
      <c r="D149" s="451" t="s">
        <v>696</v>
      </c>
      <c r="E149" s="452"/>
      <c r="F149" s="453"/>
      <c r="G149" s="454"/>
      <c r="H149" s="455">
        <f>SUM(H144:H148)</f>
        <v>509.58500000000004</v>
      </c>
      <c r="I149" s="455">
        <f>SUM(I144:I148)</f>
        <v>38.24799999999999</v>
      </c>
      <c r="J149" s="60">
        <f>SUM(H149:I149)</f>
        <v>547.83300000000008</v>
      </c>
    </row>
    <row r="150" spans="1:10" ht="12.75">
      <c r="A150" s="469" t="s">
        <v>1052</v>
      </c>
      <c r="B150" s="1027" t="s">
        <v>1175</v>
      </c>
      <c r="C150" s="1028"/>
      <c r="D150" s="1028"/>
      <c r="E150" s="457"/>
      <c r="F150" s="457"/>
      <c r="G150" s="457"/>
      <c r="H150" s="457"/>
      <c r="I150" s="457"/>
      <c r="J150" s="458"/>
    </row>
    <row r="151" spans="1:10" ht="12.75">
      <c r="A151" s="524"/>
      <c r="B151" s="459"/>
      <c r="C151" s="459"/>
      <c r="D151" s="459"/>
      <c r="E151" s="460"/>
      <c r="F151" s="460"/>
      <c r="G151" s="460"/>
      <c r="H151" s="460"/>
      <c r="I151" s="460"/>
      <c r="J151" s="461"/>
    </row>
    <row r="152" spans="1:10" ht="12.75">
      <c r="A152" s="463" t="s">
        <v>697</v>
      </c>
      <c r="B152" s="463"/>
      <c r="C152" s="438" t="s">
        <v>1074</v>
      </c>
      <c r="D152" s="439" t="s">
        <v>1144</v>
      </c>
      <c r="E152" s="440" t="s">
        <v>421</v>
      </c>
      <c r="F152" s="440" t="s">
        <v>692</v>
      </c>
      <c r="G152" s="376" t="s">
        <v>693</v>
      </c>
      <c r="H152" s="440" t="s">
        <v>694</v>
      </c>
      <c r="I152" s="440" t="s">
        <v>695</v>
      </c>
      <c r="J152" s="440" t="s">
        <v>696</v>
      </c>
    </row>
    <row r="153" spans="1:10" ht="12.75">
      <c r="A153" s="441" t="s">
        <v>698</v>
      </c>
      <c r="B153" s="441" t="s">
        <v>409</v>
      </c>
      <c r="C153" s="441">
        <v>1379</v>
      </c>
      <c r="D153" s="442" t="s">
        <v>1181</v>
      </c>
      <c r="E153" s="55" t="s">
        <v>18</v>
      </c>
      <c r="F153" s="443">
        <v>4.5999999999999996</v>
      </c>
      <c r="G153" s="443">
        <v>0.6</v>
      </c>
      <c r="H153" s="57">
        <f>F153*G153</f>
        <v>2.76</v>
      </c>
      <c r="I153" s="56"/>
      <c r="J153" s="57">
        <f>SUM(H153:I153)</f>
        <v>2.76</v>
      </c>
    </row>
    <row r="154" spans="1:10" ht="12.75">
      <c r="A154" s="441" t="s">
        <v>698</v>
      </c>
      <c r="B154" s="441" t="s">
        <v>409</v>
      </c>
      <c r="C154" s="441">
        <v>370</v>
      </c>
      <c r="D154" s="444" t="s">
        <v>1182</v>
      </c>
      <c r="E154" s="55" t="s">
        <v>1183</v>
      </c>
      <c r="F154" s="445">
        <v>1E-4</v>
      </c>
      <c r="G154" s="443">
        <v>89</v>
      </c>
      <c r="H154" s="57">
        <f t="shared" ref="H154:H156" si="14">F154*G154</f>
        <v>8.8999999999999999E-3</v>
      </c>
      <c r="I154" s="56"/>
      <c r="J154" s="57">
        <f t="shared" ref="J154:J159" si="15">SUM(H154:I154)</f>
        <v>8.8999999999999999E-3</v>
      </c>
    </row>
    <row r="155" spans="1:10" ht="12.75">
      <c r="A155" s="441" t="s">
        <v>698</v>
      </c>
      <c r="B155" s="441" t="s">
        <v>409</v>
      </c>
      <c r="C155" s="441">
        <v>1380</v>
      </c>
      <c r="D155" s="444" t="s">
        <v>1184</v>
      </c>
      <c r="E155" s="55" t="s">
        <v>18</v>
      </c>
      <c r="F155" s="443">
        <v>1.8</v>
      </c>
      <c r="G155" s="443">
        <v>1.88</v>
      </c>
      <c r="H155" s="57">
        <f t="shared" si="14"/>
        <v>3.3839999999999999</v>
      </c>
      <c r="I155" s="56"/>
      <c r="J155" s="57">
        <f t="shared" si="15"/>
        <v>3.3839999999999999</v>
      </c>
    </row>
    <row r="156" spans="1:10" ht="12.75">
      <c r="A156" s="441" t="s">
        <v>819</v>
      </c>
      <c r="B156" s="441" t="s">
        <v>409</v>
      </c>
      <c r="C156" s="441">
        <v>8184</v>
      </c>
      <c r="D156" s="444" t="s">
        <v>1185</v>
      </c>
      <c r="E156" s="55" t="s">
        <v>818</v>
      </c>
      <c r="F156" s="443">
        <v>1.29</v>
      </c>
      <c r="G156" s="443">
        <v>175</v>
      </c>
      <c r="H156" s="57">
        <f t="shared" si="14"/>
        <v>225.75</v>
      </c>
      <c r="I156" s="56"/>
      <c r="J156" s="57">
        <f t="shared" si="15"/>
        <v>225.75</v>
      </c>
    </row>
    <row r="157" spans="1:10" ht="12.75">
      <c r="A157" s="441" t="s">
        <v>819</v>
      </c>
      <c r="B157" s="441" t="s">
        <v>409</v>
      </c>
      <c r="C157" s="441">
        <v>61913</v>
      </c>
      <c r="D157" s="444" t="s">
        <v>1186</v>
      </c>
      <c r="E157" s="55" t="s">
        <v>13</v>
      </c>
      <c r="F157" s="443">
        <v>2.35</v>
      </c>
      <c r="G157" s="443">
        <v>22</v>
      </c>
      <c r="H157" s="57">
        <v>16</v>
      </c>
      <c r="I157" s="56"/>
      <c r="J157" s="57">
        <f t="shared" si="15"/>
        <v>16</v>
      </c>
    </row>
    <row r="158" spans="1:10" ht="12.75">
      <c r="A158" s="446" t="s">
        <v>698</v>
      </c>
      <c r="B158" s="441" t="s">
        <v>406</v>
      </c>
      <c r="C158" s="441">
        <v>88274</v>
      </c>
      <c r="D158" s="447" t="s">
        <v>1179</v>
      </c>
      <c r="E158" s="432" t="s">
        <v>740</v>
      </c>
      <c r="F158" s="443">
        <v>4.2699999999999996</v>
      </c>
      <c r="G158" s="540">
        <v>26.92</v>
      </c>
      <c r="H158" s="57"/>
      <c r="I158" s="56">
        <f>F158*G158</f>
        <v>114.94839999999999</v>
      </c>
      <c r="J158" s="57">
        <f t="shared" si="15"/>
        <v>114.94839999999999</v>
      </c>
    </row>
    <row r="159" spans="1:10" ht="12.75">
      <c r="A159" s="446" t="s">
        <v>698</v>
      </c>
      <c r="B159" s="441" t="s">
        <v>406</v>
      </c>
      <c r="C159" s="441">
        <v>88316</v>
      </c>
      <c r="D159" s="447" t="s">
        <v>825</v>
      </c>
      <c r="E159" s="432" t="s">
        <v>740</v>
      </c>
      <c r="F159" s="443">
        <v>4.8</v>
      </c>
      <c r="G159" s="540">
        <v>25.49</v>
      </c>
      <c r="H159" s="57"/>
      <c r="I159" s="56">
        <f>F159*G159</f>
        <v>122.35199999999999</v>
      </c>
      <c r="J159" s="57">
        <f t="shared" si="15"/>
        <v>122.35199999999999</v>
      </c>
    </row>
    <row r="160" spans="1:10" ht="12.75">
      <c r="A160" s="449"/>
      <c r="B160" s="449"/>
      <c r="C160" s="450"/>
      <c r="D160" s="451" t="s">
        <v>696</v>
      </c>
      <c r="E160" s="452"/>
      <c r="F160" s="453"/>
      <c r="G160" s="454"/>
      <c r="H160" s="455">
        <f>SUM(H153:H159)</f>
        <v>247.90289999999999</v>
      </c>
      <c r="I160" s="455">
        <f>SUM(I153:I159)</f>
        <v>237.30039999999997</v>
      </c>
      <c r="J160" s="60">
        <f>SUM(H160:I160)</f>
        <v>485.20329999999996</v>
      </c>
    </row>
    <row r="161" spans="1:10" ht="12.75">
      <c r="A161" s="469" t="s">
        <v>1052</v>
      </c>
      <c r="B161" s="1027" t="s">
        <v>1187</v>
      </c>
      <c r="C161" s="1028"/>
      <c r="D161" s="1028"/>
      <c r="E161" s="457"/>
      <c r="F161" s="457"/>
      <c r="G161" s="457"/>
      <c r="H161" s="457"/>
      <c r="I161" s="457"/>
      <c r="J161" s="458"/>
    </row>
    <row r="162" spans="1:10" ht="12.75">
      <c r="A162" s="401"/>
      <c r="B162" s="401"/>
      <c r="C162" s="401"/>
      <c r="D162" s="401"/>
      <c r="E162" s="63"/>
      <c r="F162" s="63"/>
      <c r="G162" s="63"/>
      <c r="H162" s="63"/>
      <c r="I162" s="63"/>
      <c r="J162" s="63"/>
    </row>
    <row r="163" spans="1:10" ht="12.75">
      <c r="A163" s="371" t="s">
        <v>697</v>
      </c>
      <c r="B163" s="372"/>
      <c r="C163" s="373" t="s">
        <v>1336</v>
      </c>
      <c r="D163" s="379" t="s">
        <v>1338</v>
      </c>
      <c r="E163" s="376" t="s">
        <v>700</v>
      </c>
      <c r="F163" s="376" t="s">
        <v>692</v>
      </c>
      <c r="G163" s="376" t="s">
        <v>693</v>
      </c>
      <c r="H163" s="440" t="s">
        <v>694</v>
      </c>
      <c r="I163" s="440" t="s">
        <v>695</v>
      </c>
      <c r="J163" s="440" t="s">
        <v>696</v>
      </c>
    </row>
    <row r="164" spans="1:10" ht="25.5">
      <c r="A164" s="377" t="s">
        <v>698</v>
      </c>
      <c r="B164" s="378" t="s">
        <v>409</v>
      </c>
      <c r="C164" s="47">
        <v>37556</v>
      </c>
      <c r="D164" s="379" t="s">
        <v>1337</v>
      </c>
      <c r="E164" s="411" t="s">
        <v>700</v>
      </c>
      <c r="F164" s="395">
        <v>1</v>
      </c>
      <c r="G164" s="411">
        <v>25.91</v>
      </c>
      <c r="H164" s="531">
        <f>F164*G164</f>
        <v>25.91</v>
      </c>
      <c r="I164" s="531"/>
      <c r="J164" s="411">
        <f>F164*G164</f>
        <v>25.91</v>
      </c>
    </row>
    <row r="165" spans="1:10" ht="12.75">
      <c r="A165" s="377" t="s">
        <v>698</v>
      </c>
      <c r="B165" s="378" t="s">
        <v>406</v>
      </c>
      <c r="C165" s="392">
        <v>88316</v>
      </c>
      <c r="D165" s="392" t="s">
        <v>1317</v>
      </c>
      <c r="E165" s="411" t="s">
        <v>740</v>
      </c>
      <c r="F165" s="395">
        <v>0.3</v>
      </c>
      <c r="G165" s="411">
        <v>25.49</v>
      </c>
      <c r="H165" s="411"/>
      <c r="I165" s="531">
        <f>F165*G165</f>
        <v>7.6469999999999994</v>
      </c>
      <c r="J165" s="411">
        <f>F165*G165</f>
        <v>7.6469999999999994</v>
      </c>
    </row>
    <row r="166" spans="1:10" ht="12.75">
      <c r="A166" s="384"/>
      <c r="B166" s="384"/>
      <c r="C166" s="384"/>
      <c r="D166" s="372" t="s">
        <v>696</v>
      </c>
      <c r="E166" s="411"/>
      <c r="F166" s="411"/>
      <c r="G166" s="411"/>
      <c r="H166" s="385">
        <f>SUM(H164:H165)</f>
        <v>25.91</v>
      </c>
      <c r="I166" s="385">
        <f>SUM(I164:I165)</f>
        <v>7.6469999999999994</v>
      </c>
      <c r="J166" s="386">
        <f>SUM(J164:J165)</f>
        <v>33.557000000000002</v>
      </c>
    </row>
    <row r="167" spans="1:10" ht="12.75">
      <c r="A167" s="384" t="s">
        <v>1052</v>
      </c>
      <c r="B167" s="1029" t="s">
        <v>1067</v>
      </c>
      <c r="C167" s="1030"/>
      <c r="D167" s="1030"/>
      <c r="E167" s="409"/>
      <c r="F167" s="409"/>
      <c r="G167" s="409"/>
      <c r="H167" s="409"/>
      <c r="I167" s="409"/>
      <c r="J167" s="410"/>
    </row>
    <row r="168" spans="1:10" ht="12.75">
      <c r="A168" s="469"/>
      <c r="B168" s="462"/>
      <c r="C168" s="370"/>
      <c r="D168" s="370"/>
      <c r="E168" s="457"/>
      <c r="F168" s="457"/>
      <c r="G168" s="457"/>
      <c r="H168" s="457"/>
      <c r="I168" s="457"/>
      <c r="J168" s="458"/>
    </row>
    <row r="169" spans="1:10" ht="12.75">
      <c r="A169" s="371" t="s">
        <v>697</v>
      </c>
      <c r="B169" s="372"/>
      <c r="C169" s="373" t="s">
        <v>1335</v>
      </c>
      <c r="D169" s="374" t="s">
        <v>30</v>
      </c>
      <c r="E169" s="376" t="s">
        <v>685</v>
      </c>
      <c r="F169" s="411" t="s">
        <v>692</v>
      </c>
      <c r="G169" s="376" t="s">
        <v>693</v>
      </c>
      <c r="H169" s="440" t="s">
        <v>694</v>
      </c>
      <c r="I169" s="440" t="s">
        <v>695</v>
      </c>
      <c r="J169" s="440" t="s">
        <v>696</v>
      </c>
    </row>
    <row r="170" spans="1:10" ht="12.75">
      <c r="A170" s="377" t="s">
        <v>819</v>
      </c>
      <c r="B170" s="378" t="s">
        <v>409</v>
      </c>
      <c r="C170" s="47">
        <v>38004</v>
      </c>
      <c r="D170" s="47" t="s">
        <v>1339</v>
      </c>
      <c r="E170" s="411" t="s">
        <v>685</v>
      </c>
      <c r="F170" s="395">
        <v>1</v>
      </c>
      <c r="G170" s="411">
        <v>0.09</v>
      </c>
      <c r="H170" s="531">
        <f>F170*G170</f>
        <v>0.09</v>
      </c>
      <c r="I170" s="531"/>
      <c r="J170" s="411">
        <f>F170*G170</f>
        <v>0.09</v>
      </c>
    </row>
    <row r="171" spans="1:10" ht="12.75">
      <c r="A171" s="377" t="s">
        <v>698</v>
      </c>
      <c r="B171" s="378" t="s">
        <v>406</v>
      </c>
      <c r="C171" s="392">
        <v>88316</v>
      </c>
      <c r="D171" s="392" t="s">
        <v>1317</v>
      </c>
      <c r="E171" s="411" t="s">
        <v>740</v>
      </c>
      <c r="F171" s="395">
        <v>0.1</v>
      </c>
      <c r="G171" s="411">
        <v>25.49</v>
      </c>
      <c r="H171" s="411"/>
      <c r="I171" s="531">
        <f>F171*G171</f>
        <v>2.5489999999999999</v>
      </c>
      <c r="J171" s="411">
        <f>F171*G171</f>
        <v>2.5489999999999999</v>
      </c>
    </row>
    <row r="172" spans="1:10" ht="12.75">
      <c r="A172" s="449"/>
      <c r="B172" s="449"/>
      <c r="C172" s="450"/>
      <c r="D172" s="451" t="s">
        <v>696</v>
      </c>
      <c r="E172" s="470"/>
      <c r="F172" s="61"/>
      <c r="G172" s="58"/>
      <c r="H172" s="539">
        <f>SUM(H170:H171)</f>
        <v>0.09</v>
      </c>
      <c r="I172" s="539">
        <f>SUM(I170:I171)</f>
        <v>2.5489999999999999</v>
      </c>
      <c r="J172" s="455">
        <f>SUM(J170:J171)</f>
        <v>2.6389999999999998</v>
      </c>
    </row>
    <row r="173" spans="1:10" ht="12.75">
      <c r="A173" s="469" t="s">
        <v>1052</v>
      </c>
      <c r="B173" s="1027" t="s">
        <v>1066</v>
      </c>
      <c r="C173" s="1028"/>
      <c r="D173" s="1028"/>
      <c r="E173" s="457"/>
      <c r="F173" s="457"/>
      <c r="G173" s="457"/>
      <c r="H173" s="457"/>
      <c r="I173" s="457"/>
      <c r="J173" s="458"/>
    </row>
    <row r="174" spans="1:10" ht="12.75">
      <c r="A174" s="469"/>
      <c r="B174" s="462"/>
      <c r="C174" s="370"/>
      <c r="D174" s="370"/>
      <c r="E174" s="457"/>
      <c r="F174" s="457"/>
      <c r="G174" s="457"/>
      <c r="H174" s="457"/>
      <c r="I174" s="457"/>
      <c r="J174" s="458"/>
    </row>
    <row r="175" spans="1:10" ht="12.75">
      <c r="A175" s="463" t="s">
        <v>697</v>
      </c>
      <c r="B175" s="463"/>
      <c r="C175" s="438" t="s">
        <v>1340</v>
      </c>
      <c r="D175" s="464" t="s">
        <v>1194</v>
      </c>
      <c r="E175" s="440" t="s">
        <v>700</v>
      </c>
      <c r="F175" s="440" t="s">
        <v>692</v>
      </c>
      <c r="G175" s="376" t="s">
        <v>693</v>
      </c>
      <c r="H175" s="440" t="s">
        <v>694</v>
      </c>
      <c r="I175" s="440" t="s">
        <v>695</v>
      </c>
      <c r="J175" s="440" t="s">
        <v>696</v>
      </c>
    </row>
    <row r="176" spans="1:10" ht="12.75">
      <c r="A176" s="446" t="s">
        <v>698</v>
      </c>
      <c r="B176" s="465" t="s">
        <v>409</v>
      </c>
      <c r="C176" s="441">
        <v>1652</v>
      </c>
      <c r="D176" s="447" t="s">
        <v>1361</v>
      </c>
      <c r="E176" s="55" t="s">
        <v>15</v>
      </c>
      <c r="F176" s="51">
        <v>1</v>
      </c>
      <c r="G176" s="466">
        <v>288.32</v>
      </c>
      <c r="H176" s="52">
        <f>F176*G176</f>
        <v>288.32</v>
      </c>
      <c r="I176" s="53"/>
      <c r="J176" s="54">
        <f>SUM(H176:I176)</f>
        <v>288.32</v>
      </c>
    </row>
    <row r="177" spans="1:10" ht="12.75">
      <c r="A177" s="446" t="s">
        <v>698</v>
      </c>
      <c r="B177" s="465" t="s">
        <v>409</v>
      </c>
      <c r="C177" s="467" t="s">
        <v>511</v>
      </c>
      <c r="D177" s="467" t="s">
        <v>738</v>
      </c>
      <c r="E177" s="55" t="s">
        <v>13</v>
      </c>
      <c r="F177" s="51">
        <f>0.053/3*4</f>
        <v>7.0666666666666669E-2</v>
      </c>
      <c r="G177" s="466">
        <v>11.8</v>
      </c>
      <c r="H177" s="52">
        <f t="shared" ref="H177:H178" si="16">F177*G177</f>
        <v>0.83386666666666676</v>
      </c>
      <c r="I177" s="53"/>
      <c r="J177" s="54">
        <f t="shared" ref="J177:J180" si="17">SUM(H177:I177)</f>
        <v>0.83386666666666676</v>
      </c>
    </row>
    <row r="178" spans="1:10" ht="12.75">
      <c r="A178" s="446" t="s">
        <v>698</v>
      </c>
      <c r="B178" s="465" t="s">
        <v>409</v>
      </c>
      <c r="C178" s="468">
        <v>7307</v>
      </c>
      <c r="D178" s="467" t="s">
        <v>1362</v>
      </c>
      <c r="E178" s="55" t="s">
        <v>13</v>
      </c>
      <c r="F178" s="51">
        <f>0.011/3*4</f>
        <v>1.4666666666666666E-2</v>
      </c>
      <c r="G178" s="466">
        <v>45.23</v>
      </c>
      <c r="H178" s="52">
        <f t="shared" si="16"/>
        <v>0.66337333333333326</v>
      </c>
      <c r="I178" s="53"/>
      <c r="J178" s="54">
        <f t="shared" si="17"/>
        <v>0.66337333333333326</v>
      </c>
    </row>
    <row r="179" spans="1:10" ht="12.75">
      <c r="A179" s="446" t="s">
        <v>698</v>
      </c>
      <c r="B179" s="465" t="s">
        <v>406</v>
      </c>
      <c r="C179" s="441">
        <v>88248</v>
      </c>
      <c r="D179" s="447" t="s">
        <v>739</v>
      </c>
      <c r="E179" s="432" t="s">
        <v>740</v>
      </c>
      <c r="F179" s="111">
        <v>1</v>
      </c>
      <c r="G179" s="466">
        <v>26.14</v>
      </c>
      <c r="H179" s="52"/>
      <c r="I179" s="56">
        <f>F179*G179</f>
        <v>26.14</v>
      </c>
      <c r="J179" s="54">
        <f t="shared" si="17"/>
        <v>26.14</v>
      </c>
    </row>
    <row r="180" spans="1:10" ht="12.75">
      <c r="A180" s="446" t="s">
        <v>698</v>
      </c>
      <c r="B180" s="465" t="s">
        <v>406</v>
      </c>
      <c r="C180" s="441">
        <v>88267</v>
      </c>
      <c r="D180" s="447" t="s">
        <v>741</v>
      </c>
      <c r="E180" s="432" t="s">
        <v>740</v>
      </c>
      <c r="F180" s="111">
        <f>F179</f>
        <v>1</v>
      </c>
      <c r="G180" s="466">
        <v>32.130000000000003</v>
      </c>
      <c r="H180" s="55"/>
      <c r="I180" s="56">
        <f>F180*G180</f>
        <v>32.130000000000003</v>
      </c>
      <c r="J180" s="54">
        <f t="shared" si="17"/>
        <v>32.130000000000003</v>
      </c>
    </row>
    <row r="181" spans="1:10" ht="12.75">
      <c r="A181" s="449"/>
      <c r="B181" s="469"/>
      <c r="C181" s="450"/>
      <c r="D181" s="451" t="s">
        <v>696</v>
      </c>
      <c r="E181" s="470"/>
      <c r="F181" s="61"/>
      <c r="G181" s="58"/>
      <c r="H181" s="59">
        <f>SUM(H176:H180)</f>
        <v>289.81723999999997</v>
      </c>
      <c r="I181" s="59">
        <f>SUM(I176:I180)</f>
        <v>58.27</v>
      </c>
      <c r="J181" s="60">
        <f>SUM(H181:I181)</f>
        <v>348.08723999999995</v>
      </c>
    </row>
    <row r="182" spans="1:10" ht="12.75">
      <c r="A182" s="469" t="s">
        <v>1052</v>
      </c>
      <c r="B182" s="1027" t="s">
        <v>1160</v>
      </c>
      <c r="C182" s="1028"/>
      <c r="D182" s="1028"/>
      <c r="E182" s="457"/>
      <c r="F182" s="457"/>
      <c r="G182" s="457"/>
      <c r="H182" s="457"/>
      <c r="I182" s="457"/>
      <c r="J182" s="458"/>
    </row>
    <row r="183" spans="1:10" ht="12.75">
      <c r="A183" s="469"/>
      <c r="B183" s="462"/>
      <c r="C183" s="370"/>
      <c r="D183" s="370"/>
      <c r="E183" s="457"/>
      <c r="F183" s="457"/>
      <c r="G183" s="457"/>
      <c r="H183" s="457"/>
      <c r="I183" s="457"/>
      <c r="J183" s="458"/>
    </row>
    <row r="184" spans="1:10" ht="12.75">
      <c r="A184" s="463" t="s">
        <v>697</v>
      </c>
      <c r="B184" s="463"/>
      <c r="C184" s="438" t="s">
        <v>1341</v>
      </c>
      <c r="D184" s="464" t="s">
        <v>1195</v>
      </c>
      <c r="E184" s="440" t="s">
        <v>700</v>
      </c>
      <c r="F184" s="440" t="s">
        <v>692</v>
      </c>
      <c r="G184" s="376" t="s">
        <v>693</v>
      </c>
      <c r="H184" s="440" t="s">
        <v>694</v>
      </c>
      <c r="I184" s="440" t="s">
        <v>695</v>
      </c>
      <c r="J184" s="440" t="s">
        <v>696</v>
      </c>
    </row>
    <row r="185" spans="1:10" ht="12.75">
      <c r="A185" s="446" t="s">
        <v>698</v>
      </c>
      <c r="B185" s="432" t="s">
        <v>409</v>
      </c>
      <c r="C185" s="441">
        <v>1651</v>
      </c>
      <c r="D185" s="447" t="s">
        <v>1363</v>
      </c>
      <c r="E185" s="55" t="s">
        <v>15</v>
      </c>
      <c r="F185" s="51">
        <v>1</v>
      </c>
      <c r="G185" s="466">
        <v>200.88</v>
      </c>
      <c r="H185" s="52">
        <f>F185*G185</f>
        <v>200.88</v>
      </c>
      <c r="I185" s="53"/>
      <c r="J185" s="54">
        <f>SUM(H185:I185)</f>
        <v>200.88</v>
      </c>
    </row>
    <row r="186" spans="1:10" ht="12.75">
      <c r="A186" s="446" t="s">
        <v>698</v>
      </c>
      <c r="B186" s="432" t="s">
        <v>409</v>
      </c>
      <c r="C186" s="467" t="s">
        <v>511</v>
      </c>
      <c r="D186" s="467" t="s">
        <v>738</v>
      </c>
      <c r="E186" s="55" t="s">
        <v>13</v>
      </c>
      <c r="F186" s="51">
        <f>0.045/3*4</f>
        <v>0.06</v>
      </c>
      <c r="G186" s="466">
        <v>11.69</v>
      </c>
      <c r="H186" s="52">
        <f t="shared" ref="H186:H187" si="18">F186*G186</f>
        <v>0.70139999999999991</v>
      </c>
      <c r="I186" s="53"/>
      <c r="J186" s="54">
        <f t="shared" ref="J186:J189" si="19">SUM(H186:I186)</f>
        <v>0.70139999999999991</v>
      </c>
    </row>
    <row r="187" spans="1:10" ht="12.75">
      <c r="A187" s="446" t="s">
        <v>698</v>
      </c>
      <c r="B187" s="432" t="s">
        <v>409</v>
      </c>
      <c r="C187" s="468">
        <v>7307</v>
      </c>
      <c r="D187" s="467" t="s">
        <v>1362</v>
      </c>
      <c r="E187" s="55" t="s">
        <v>13</v>
      </c>
      <c r="F187" s="51">
        <f>0.013/3*4</f>
        <v>1.7333333333333333E-2</v>
      </c>
      <c r="G187" s="466">
        <v>45.23</v>
      </c>
      <c r="H187" s="52">
        <f t="shared" si="18"/>
        <v>0.78398666666666661</v>
      </c>
      <c r="I187" s="53"/>
      <c r="J187" s="54">
        <f t="shared" si="19"/>
        <v>0.78398666666666661</v>
      </c>
    </row>
    <row r="188" spans="1:10" ht="12.75">
      <c r="A188" s="446" t="s">
        <v>698</v>
      </c>
      <c r="B188" s="432" t="s">
        <v>406</v>
      </c>
      <c r="C188" s="441">
        <v>88248</v>
      </c>
      <c r="D188" s="447" t="s">
        <v>739</v>
      </c>
      <c r="E188" s="432" t="s">
        <v>740</v>
      </c>
      <c r="F188" s="111">
        <v>1</v>
      </c>
      <c r="G188" s="466">
        <v>26.14</v>
      </c>
      <c r="H188" s="52"/>
      <c r="I188" s="56">
        <f>F188*G188</f>
        <v>26.14</v>
      </c>
      <c r="J188" s="54">
        <f t="shared" si="19"/>
        <v>26.14</v>
      </c>
    </row>
    <row r="189" spans="1:10" ht="12.75">
      <c r="A189" s="446" t="s">
        <v>698</v>
      </c>
      <c r="B189" s="432" t="s">
        <v>406</v>
      </c>
      <c r="C189" s="441">
        <v>88267</v>
      </c>
      <c r="D189" s="447" t="s">
        <v>741</v>
      </c>
      <c r="E189" s="432" t="s">
        <v>740</v>
      </c>
      <c r="F189" s="111">
        <f>F188</f>
        <v>1</v>
      </c>
      <c r="G189" s="466">
        <v>32.130000000000003</v>
      </c>
      <c r="H189" s="55"/>
      <c r="I189" s="56">
        <f>F189*G189</f>
        <v>32.130000000000003</v>
      </c>
      <c r="J189" s="54">
        <f t="shared" si="19"/>
        <v>32.130000000000003</v>
      </c>
    </row>
    <row r="190" spans="1:10" ht="12.75">
      <c r="A190" s="449"/>
      <c r="B190" s="469"/>
      <c r="C190" s="450"/>
      <c r="D190" s="451" t="s">
        <v>696</v>
      </c>
      <c r="E190" s="470"/>
      <c r="F190" s="61"/>
      <c r="G190" s="58"/>
      <c r="H190" s="59">
        <f>SUM(H185:H189)</f>
        <v>202.36538666666667</v>
      </c>
      <c r="I190" s="59">
        <f>SUM(I185:I189)</f>
        <v>58.27</v>
      </c>
      <c r="J190" s="60">
        <f>SUM(H190:I190)</f>
        <v>260.63538666666665</v>
      </c>
    </row>
    <row r="191" spans="1:10" ht="12.75">
      <c r="A191" s="469" t="s">
        <v>1052</v>
      </c>
      <c r="B191" s="1027" t="s">
        <v>1161</v>
      </c>
      <c r="C191" s="1028"/>
      <c r="D191" s="1028"/>
      <c r="E191" s="457"/>
      <c r="F191" s="457"/>
      <c r="G191" s="457"/>
      <c r="H191" s="457"/>
      <c r="I191" s="457"/>
      <c r="J191" s="458"/>
    </row>
    <row r="192" spans="1:10" ht="12.75">
      <c r="A192" s="401"/>
      <c r="B192" s="401"/>
      <c r="C192" s="401"/>
      <c r="D192" s="401"/>
      <c r="E192" s="63"/>
      <c r="F192" s="63"/>
      <c r="G192" s="63"/>
      <c r="H192" s="63"/>
      <c r="I192" s="63"/>
      <c r="J192" s="63"/>
    </row>
    <row r="193" spans="1:10" ht="12.75">
      <c r="A193" s="463" t="s">
        <v>697</v>
      </c>
      <c r="B193" s="463"/>
      <c r="C193" s="438" t="s">
        <v>1342</v>
      </c>
      <c r="D193" s="464" t="s">
        <v>1196</v>
      </c>
      <c r="E193" s="440" t="s">
        <v>700</v>
      </c>
      <c r="F193" s="440" t="s">
        <v>692</v>
      </c>
      <c r="G193" s="376" t="s">
        <v>693</v>
      </c>
      <c r="H193" s="440" t="s">
        <v>694</v>
      </c>
      <c r="I193" s="440" t="s">
        <v>695</v>
      </c>
      <c r="J193" s="440" t="s">
        <v>696</v>
      </c>
    </row>
    <row r="194" spans="1:10" ht="12.75">
      <c r="A194" s="446" t="s">
        <v>698</v>
      </c>
      <c r="B194" s="432" t="s">
        <v>409</v>
      </c>
      <c r="C194" s="441">
        <v>790</v>
      </c>
      <c r="D194" s="471" t="s">
        <v>1364</v>
      </c>
      <c r="E194" s="55" t="s">
        <v>15</v>
      </c>
      <c r="F194" s="51">
        <v>1</v>
      </c>
      <c r="G194" s="466">
        <v>21.7</v>
      </c>
      <c r="H194" s="52">
        <f>F194*G194</f>
        <v>21.7</v>
      </c>
      <c r="I194" s="53"/>
      <c r="J194" s="54">
        <f>SUM(H194:I194)</f>
        <v>21.7</v>
      </c>
    </row>
    <row r="195" spans="1:10" ht="12.75">
      <c r="A195" s="446" t="s">
        <v>698</v>
      </c>
      <c r="B195" s="432" t="s">
        <v>409</v>
      </c>
      <c r="C195" s="467" t="s">
        <v>511</v>
      </c>
      <c r="D195" s="467" t="s">
        <v>738</v>
      </c>
      <c r="E195" s="55" t="s">
        <v>13</v>
      </c>
      <c r="F195" s="51">
        <v>1.9E-2</v>
      </c>
      <c r="G195" s="466">
        <v>11.8</v>
      </c>
      <c r="H195" s="52">
        <f t="shared" ref="H195:H196" si="20">F195*G195</f>
        <v>0.22420000000000001</v>
      </c>
      <c r="I195" s="53"/>
      <c r="J195" s="54">
        <f t="shared" ref="J195:J198" si="21">SUM(H195:I195)</f>
        <v>0.22420000000000001</v>
      </c>
    </row>
    <row r="196" spans="1:10" ht="12.75">
      <c r="A196" s="446" t="s">
        <v>698</v>
      </c>
      <c r="B196" s="432" t="s">
        <v>409</v>
      </c>
      <c r="C196" s="468">
        <v>7307</v>
      </c>
      <c r="D196" s="467" t="s">
        <v>1362</v>
      </c>
      <c r="E196" s="55" t="s">
        <v>13</v>
      </c>
      <c r="F196" s="51">
        <v>5.0000000000000001E-3</v>
      </c>
      <c r="G196" s="466">
        <v>45.23</v>
      </c>
      <c r="H196" s="52">
        <f t="shared" si="20"/>
        <v>0.22614999999999999</v>
      </c>
      <c r="I196" s="53"/>
      <c r="J196" s="54">
        <f t="shared" si="21"/>
        <v>0.22614999999999999</v>
      </c>
    </row>
    <row r="197" spans="1:10" ht="12.75">
      <c r="A197" s="446" t="s">
        <v>698</v>
      </c>
      <c r="B197" s="432" t="s">
        <v>406</v>
      </c>
      <c r="C197" s="441">
        <v>88248</v>
      </c>
      <c r="D197" s="447" t="s">
        <v>739</v>
      </c>
      <c r="E197" s="432" t="s">
        <v>740</v>
      </c>
      <c r="F197" s="111">
        <v>0.58199999999999996</v>
      </c>
      <c r="G197" s="466">
        <v>26.14</v>
      </c>
      <c r="H197" s="52"/>
      <c r="I197" s="56">
        <f>F197*G197</f>
        <v>15.213479999999999</v>
      </c>
      <c r="J197" s="54">
        <f t="shared" si="21"/>
        <v>15.213479999999999</v>
      </c>
    </row>
    <row r="198" spans="1:10" ht="12.75">
      <c r="A198" s="446" t="s">
        <v>698</v>
      </c>
      <c r="B198" s="432" t="s">
        <v>406</v>
      </c>
      <c r="C198" s="441">
        <v>88267</v>
      </c>
      <c r="D198" s="447" t="s">
        <v>741</v>
      </c>
      <c r="E198" s="432" t="s">
        <v>740</v>
      </c>
      <c r="F198" s="111">
        <f>F197</f>
        <v>0.58199999999999996</v>
      </c>
      <c r="G198" s="466">
        <v>32.130000000000003</v>
      </c>
      <c r="H198" s="55"/>
      <c r="I198" s="56">
        <f>F198*G198</f>
        <v>18.699660000000002</v>
      </c>
      <c r="J198" s="54">
        <f t="shared" si="21"/>
        <v>18.699660000000002</v>
      </c>
    </row>
    <row r="199" spans="1:10" ht="12.75">
      <c r="A199" s="449"/>
      <c r="B199" s="469"/>
      <c r="C199" s="450"/>
      <c r="D199" s="451" t="s">
        <v>696</v>
      </c>
      <c r="E199" s="470"/>
      <c r="F199" s="61"/>
      <c r="G199" s="58"/>
      <c r="H199" s="59">
        <f>SUM(H194:H198)</f>
        <v>22.15035</v>
      </c>
      <c r="I199" s="59">
        <f>SUM(I194:I198)</f>
        <v>33.913139999999999</v>
      </c>
      <c r="J199" s="60">
        <f>SUM(H199:I199)</f>
        <v>56.063490000000002</v>
      </c>
    </row>
    <row r="200" spans="1:10" ht="12.75">
      <c r="A200" s="469" t="s">
        <v>1052</v>
      </c>
      <c r="B200" s="1027" t="s">
        <v>1162</v>
      </c>
      <c r="C200" s="1028"/>
      <c r="D200" s="1028"/>
      <c r="E200" s="457"/>
      <c r="F200" s="457"/>
      <c r="G200" s="457"/>
      <c r="H200" s="457"/>
      <c r="I200" s="457"/>
      <c r="J200" s="458"/>
    </row>
    <row r="201" spans="1:10" ht="12.75">
      <c r="A201" s="401"/>
      <c r="B201" s="401"/>
      <c r="C201" s="401"/>
      <c r="D201" s="401"/>
      <c r="E201" s="63"/>
      <c r="F201" s="63"/>
      <c r="G201" s="63"/>
      <c r="H201" s="63"/>
      <c r="I201" s="63"/>
      <c r="J201" s="63"/>
    </row>
    <row r="202" spans="1:10" ht="12.75">
      <c r="A202" s="463" t="s">
        <v>697</v>
      </c>
      <c r="B202" s="463"/>
      <c r="C202" s="438" t="s">
        <v>1343</v>
      </c>
      <c r="D202" s="464" t="s">
        <v>1197</v>
      </c>
      <c r="E202" s="440" t="s">
        <v>700</v>
      </c>
      <c r="F202" s="440" t="s">
        <v>692</v>
      </c>
      <c r="G202" s="376" t="s">
        <v>693</v>
      </c>
      <c r="H202" s="440" t="s">
        <v>694</v>
      </c>
      <c r="I202" s="440" t="s">
        <v>695</v>
      </c>
      <c r="J202" s="440" t="s">
        <v>696</v>
      </c>
    </row>
    <row r="203" spans="1:10" ht="12.75">
      <c r="A203" s="446" t="s">
        <v>698</v>
      </c>
      <c r="B203" s="465" t="s">
        <v>409</v>
      </c>
      <c r="C203" s="441">
        <v>772</v>
      </c>
      <c r="D203" s="471" t="s">
        <v>1365</v>
      </c>
      <c r="E203" s="55" t="s">
        <v>15</v>
      </c>
      <c r="F203" s="51">
        <v>1</v>
      </c>
      <c r="G203" s="466">
        <v>29.12</v>
      </c>
      <c r="H203" s="52">
        <f>F203*G203</f>
        <v>29.12</v>
      </c>
      <c r="I203" s="53"/>
      <c r="J203" s="54">
        <f>SUM(H203:I203)</f>
        <v>29.12</v>
      </c>
    </row>
    <row r="204" spans="1:10" ht="12.75">
      <c r="A204" s="446" t="s">
        <v>698</v>
      </c>
      <c r="B204" s="465" t="s">
        <v>409</v>
      </c>
      <c r="C204" s="468">
        <v>3148</v>
      </c>
      <c r="D204" s="467" t="s">
        <v>738</v>
      </c>
      <c r="E204" s="55" t="s">
        <v>13</v>
      </c>
      <c r="F204" s="51">
        <v>2.4E-2</v>
      </c>
      <c r="G204" s="466">
        <v>11.8</v>
      </c>
      <c r="H204" s="52">
        <f t="shared" ref="H204:H205" si="22">F204*G204</f>
        <v>0.28320000000000001</v>
      </c>
      <c r="I204" s="53"/>
      <c r="J204" s="54">
        <f t="shared" ref="J204:J207" si="23">SUM(H204:I204)</f>
        <v>0.28320000000000001</v>
      </c>
    </row>
    <row r="205" spans="1:10" ht="12.75">
      <c r="A205" s="446" t="s">
        <v>698</v>
      </c>
      <c r="B205" s="465" t="s">
        <v>409</v>
      </c>
      <c r="C205" s="468">
        <v>7307</v>
      </c>
      <c r="D205" s="467" t="s">
        <v>1362</v>
      </c>
      <c r="E205" s="55" t="s">
        <v>13</v>
      </c>
      <c r="F205" s="51">
        <v>6.0000000000000001E-3</v>
      </c>
      <c r="G205" s="466">
        <v>45.23</v>
      </c>
      <c r="H205" s="52">
        <f t="shared" si="22"/>
        <v>0.27138000000000001</v>
      </c>
      <c r="I205" s="53"/>
      <c r="J205" s="54">
        <f t="shared" si="23"/>
        <v>0.27138000000000001</v>
      </c>
    </row>
    <row r="206" spans="1:10" ht="12.75">
      <c r="A206" s="446" t="s">
        <v>698</v>
      </c>
      <c r="B206" s="465" t="s">
        <v>406</v>
      </c>
      <c r="C206" s="441">
        <v>88248</v>
      </c>
      <c r="D206" s="447" t="s">
        <v>739</v>
      </c>
      <c r="E206" s="432" t="s">
        <v>740</v>
      </c>
      <c r="F206" s="111">
        <v>0.64400000000000002</v>
      </c>
      <c r="G206" s="466">
        <v>26.14</v>
      </c>
      <c r="H206" s="52"/>
      <c r="I206" s="56">
        <f>F206*G206</f>
        <v>16.834160000000001</v>
      </c>
      <c r="J206" s="54">
        <f t="shared" si="23"/>
        <v>16.834160000000001</v>
      </c>
    </row>
    <row r="207" spans="1:10" ht="12.75">
      <c r="A207" s="446" t="s">
        <v>698</v>
      </c>
      <c r="B207" s="465" t="s">
        <v>406</v>
      </c>
      <c r="C207" s="441">
        <v>88267</v>
      </c>
      <c r="D207" s="447" t="s">
        <v>741</v>
      </c>
      <c r="E207" s="432" t="s">
        <v>740</v>
      </c>
      <c r="F207" s="111">
        <f>F206</f>
        <v>0.64400000000000002</v>
      </c>
      <c r="G207" s="466">
        <v>32.130000000000003</v>
      </c>
      <c r="H207" s="55"/>
      <c r="I207" s="56">
        <f>F207*G207</f>
        <v>20.691720000000004</v>
      </c>
      <c r="J207" s="54">
        <f t="shared" si="23"/>
        <v>20.691720000000004</v>
      </c>
    </row>
    <row r="208" spans="1:10" ht="12.75">
      <c r="A208" s="449"/>
      <c r="B208" s="469"/>
      <c r="C208" s="450"/>
      <c r="D208" s="451" t="s">
        <v>696</v>
      </c>
      <c r="E208" s="470"/>
      <c r="F208" s="61"/>
      <c r="G208" s="58"/>
      <c r="H208" s="59">
        <f>SUM(H203:H207)</f>
        <v>29.674580000000002</v>
      </c>
      <c r="I208" s="59">
        <f>SUM(I203:I207)</f>
        <v>37.525880000000001</v>
      </c>
      <c r="J208" s="60">
        <f>SUM(H208:I208)</f>
        <v>67.200460000000007</v>
      </c>
    </row>
    <row r="209" spans="1:10" ht="12.75">
      <c r="A209" s="469" t="s">
        <v>1052</v>
      </c>
      <c r="B209" s="1027" t="s">
        <v>1163</v>
      </c>
      <c r="C209" s="1028"/>
      <c r="D209" s="1028"/>
      <c r="E209" s="457"/>
      <c r="F209" s="457"/>
      <c r="G209" s="457"/>
      <c r="H209" s="457"/>
      <c r="I209" s="457"/>
      <c r="J209" s="458"/>
    </row>
    <row r="210" spans="1:10" ht="12.75">
      <c r="A210" s="401"/>
      <c r="B210" s="401"/>
      <c r="C210" s="401"/>
      <c r="D210" s="401"/>
      <c r="E210" s="63"/>
      <c r="F210" s="63"/>
      <c r="G210" s="63"/>
      <c r="H210" s="63"/>
      <c r="I210" s="63"/>
      <c r="J210" s="63"/>
    </row>
    <row r="211" spans="1:10" ht="12.75">
      <c r="A211" s="463" t="s">
        <v>697</v>
      </c>
      <c r="B211" s="463"/>
      <c r="C211" s="438" t="s">
        <v>1344</v>
      </c>
      <c r="D211" s="464" t="s">
        <v>1198</v>
      </c>
      <c r="E211" s="440" t="s">
        <v>700</v>
      </c>
      <c r="F211" s="440" t="s">
        <v>692</v>
      </c>
      <c r="G211" s="376" t="s">
        <v>693</v>
      </c>
      <c r="H211" s="440" t="s">
        <v>694</v>
      </c>
      <c r="I211" s="440" t="s">
        <v>695</v>
      </c>
      <c r="J211" s="440" t="s">
        <v>696</v>
      </c>
    </row>
    <row r="212" spans="1:10" ht="12.75">
      <c r="A212" s="446" t="s">
        <v>698</v>
      </c>
      <c r="B212" s="465" t="s">
        <v>409</v>
      </c>
      <c r="C212" s="441">
        <v>788</v>
      </c>
      <c r="D212" s="471" t="s">
        <v>1366</v>
      </c>
      <c r="E212" s="55" t="s">
        <v>15</v>
      </c>
      <c r="F212" s="51">
        <v>1</v>
      </c>
      <c r="G212" s="466">
        <v>29.12</v>
      </c>
      <c r="H212" s="52">
        <f>F212*G212</f>
        <v>29.12</v>
      </c>
      <c r="I212" s="53"/>
      <c r="J212" s="54">
        <f>SUM(H212:I212)</f>
        <v>29.12</v>
      </c>
    </row>
    <row r="213" spans="1:10" ht="12.75">
      <c r="A213" s="446" t="s">
        <v>698</v>
      </c>
      <c r="B213" s="465" t="s">
        <v>409</v>
      </c>
      <c r="C213" s="467" t="s">
        <v>511</v>
      </c>
      <c r="D213" s="467" t="s">
        <v>738</v>
      </c>
      <c r="E213" s="55" t="s">
        <v>13</v>
      </c>
      <c r="F213" s="51">
        <v>2.4E-2</v>
      </c>
      <c r="G213" s="466">
        <v>11.8</v>
      </c>
      <c r="H213" s="52">
        <f t="shared" ref="H213:H214" si="24">F213*G213</f>
        <v>0.28320000000000001</v>
      </c>
      <c r="I213" s="53"/>
      <c r="J213" s="54">
        <f t="shared" ref="J213:J216" si="25">SUM(H213:I213)</f>
        <v>0.28320000000000001</v>
      </c>
    </row>
    <row r="214" spans="1:10" ht="12.75">
      <c r="A214" s="446" t="s">
        <v>698</v>
      </c>
      <c r="B214" s="465" t="s">
        <v>409</v>
      </c>
      <c r="C214" s="468">
        <v>7307</v>
      </c>
      <c r="D214" s="467" t="s">
        <v>1362</v>
      </c>
      <c r="E214" s="55" t="s">
        <v>13</v>
      </c>
      <c r="F214" s="51">
        <v>6.0000000000000001E-3</v>
      </c>
      <c r="G214" s="466">
        <v>45.23</v>
      </c>
      <c r="H214" s="52">
        <f t="shared" si="24"/>
        <v>0.27138000000000001</v>
      </c>
      <c r="I214" s="53"/>
      <c r="J214" s="54">
        <f t="shared" si="25"/>
        <v>0.27138000000000001</v>
      </c>
    </row>
    <row r="215" spans="1:10" ht="12.75">
      <c r="A215" s="446" t="s">
        <v>698</v>
      </c>
      <c r="B215" s="465" t="s">
        <v>406</v>
      </c>
      <c r="C215" s="441">
        <v>88248</v>
      </c>
      <c r="D215" s="447" t="s">
        <v>739</v>
      </c>
      <c r="E215" s="432" t="s">
        <v>740</v>
      </c>
      <c r="F215" s="111">
        <v>0.64400000000000002</v>
      </c>
      <c r="G215" s="466">
        <v>26.14</v>
      </c>
      <c r="H215" s="52"/>
      <c r="I215" s="56">
        <f>F215*G215</f>
        <v>16.834160000000001</v>
      </c>
      <c r="J215" s="54">
        <f t="shared" si="25"/>
        <v>16.834160000000001</v>
      </c>
    </row>
    <row r="216" spans="1:10" ht="12.75">
      <c r="A216" s="446" t="s">
        <v>698</v>
      </c>
      <c r="B216" s="465" t="s">
        <v>406</v>
      </c>
      <c r="C216" s="441">
        <v>88267</v>
      </c>
      <c r="D216" s="447" t="s">
        <v>741</v>
      </c>
      <c r="E216" s="432" t="s">
        <v>740</v>
      </c>
      <c r="F216" s="111">
        <f>F215</f>
        <v>0.64400000000000002</v>
      </c>
      <c r="G216" s="466">
        <v>32.130000000000003</v>
      </c>
      <c r="H216" s="55"/>
      <c r="I216" s="56">
        <f>F216*G216</f>
        <v>20.691720000000004</v>
      </c>
      <c r="J216" s="54">
        <f t="shared" si="25"/>
        <v>20.691720000000004</v>
      </c>
    </row>
    <row r="217" spans="1:10" ht="12.75">
      <c r="A217" s="449"/>
      <c r="B217" s="469"/>
      <c r="C217" s="450"/>
      <c r="D217" s="451" t="s">
        <v>696</v>
      </c>
      <c r="E217" s="470"/>
      <c r="F217" s="61"/>
      <c r="G217" s="58"/>
      <c r="H217" s="59">
        <f>SUM(H212:H216)</f>
        <v>29.674580000000002</v>
      </c>
      <c r="I217" s="59">
        <f>SUM(I212:I216)</f>
        <v>37.525880000000001</v>
      </c>
      <c r="J217" s="60">
        <f>SUM(H217:I217)</f>
        <v>67.200460000000007</v>
      </c>
    </row>
    <row r="218" spans="1:10" ht="12.75">
      <c r="A218" s="469" t="s">
        <v>1052</v>
      </c>
      <c r="B218" s="1027" t="s">
        <v>1164</v>
      </c>
      <c r="C218" s="1028"/>
      <c r="D218" s="1028"/>
      <c r="E218" s="457"/>
      <c r="F218" s="457"/>
      <c r="G218" s="457"/>
      <c r="H218" s="457"/>
      <c r="I218" s="457"/>
      <c r="J218" s="458"/>
    </row>
    <row r="219" spans="1:10" ht="12.75">
      <c r="A219" s="401"/>
      <c r="B219" s="401"/>
      <c r="C219" s="401"/>
      <c r="D219" s="401"/>
      <c r="E219" s="63"/>
      <c r="F219" s="63"/>
      <c r="G219" s="63"/>
      <c r="H219" s="63"/>
      <c r="I219" s="63"/>
      <c r="J219" s="63"/>
    </row>
    <row r="220" spans="1:10" ht="12.75">
      <c r="A220" s="463" t="s">
        <v>697</v>
      </c>
      <c r="B220" s="463"/>
      <c r="C220" s="438" t="s">
        <v>1345</v>
      </c>
      <c r="D220" s="464" t="s">
        <v>1199</v>
      </c>
      <c r="E220" s="440" t="s">
        <v>700</v>
      </c>
      <c r="F220" s="440" t="s">
        <v>692</v>
      </c>
      <c r="G220" s="376" t="s">
        <v>693</v>
      </c>
      <c r="H220" s="440" t="s">
        <v>694</v>
      </c>
      <c r="I220" s="440" t="s">
        <v>695</v>
      </c>
      <c r="J220" s="440" t="s">
        <v>696</v>
      </c>
    </row>
    <row r="221" spans="1:10" ht="12.75">
      <c r="A221" s="446" t="s">
        <v>698</v>
      </c>
      <c r="B221" s="465" t="s">
        <v>409</v>
      </c>
      <c r="C221" s="472">
        <v>774</v>
      </c>
      <c r="D221" s="471" t="s">
        <v>1368</v>
      </c>
      <c r="E221" s="55" t="s">
        <v>15</v>
      </c>
      <c r="F221" s="51">
        <v>1</v>
      </c>
      <c r="G221" s="466">
        <v>46.86</v>
      </c>
      <c r="H221" s="52">
        <f>F221*G221</f>
        <v>46.86</v>
      </c>
      <c r="I221" s="53"/>
      <c r="J221" s="54">
        <f>SUM(H221:I221)</f>
        <v>46.86</v>
      </c>
    </row>
    <row r="222" spans="1:10" ht="12.75">
      <c r="A222" s="446" t="s">
        <v>698</v>
      </c>
      <c r="B222" s="465" t="s">
        <v>409</v>
      </c>
      <c r="C222" s="467" t="s">
        <v>511</v>
      </c>
      <c r="D222" s="467" t="s">
        <v>738</v>
      </c>
      <c r="E222" s="55" t="s">
        <v>13</v>
      </c>
      <c r="F222" s="51">
        <v>0.03</v>
      </c>
      <c r="G222" s="466">
        <v>11.8</v>
      </c>
      <c r="H222" s="52">
        <f t="shared" ref="H222:H223" si="26">F222*G222</f>
        <v>0.35399999999999998</v>
      </c>
      <c r="I222" s="53"/>
      <c r="J222" s="54">
        <f t="shared" ref="J222:J225" si="27">SUM(H222:I222)</f>
        <v>0.35399999999999998</v>
      </c>
    </row>
    <row r="223" spans="1:10" ht="12.75">
      <c r="A223" s="446" t="s">
        <v>698</v>
      </c>
      <c r="B223" s="465" t="s">
        <v>409</v>
      </c>
      <c r="C223" s="468">
        <v>7307</v>
      </c>
      <c r="D223" s="467" t="s">
        <v>1362</v>
      </c>
      <c r="E223" s="55" t="s">
        <v>13</v>
      </c>
      <c r="F223" s="51">
        <v>7.0000000000000001E-3</v>
      </c>
      <c r="G223" s="466">
        <v>45.23</v>
      </c>
      <c r="H223" s="52">
        <f t="shared" si="26"/>
        <v>0.31661</v>
      </c>
      <c r="I223" s="53"/>
      <c r="J223" s="54">
        <f t="shared" si="27"/>
        <v>0.31661</v>
      </c>
    </row>
    <row r="224" spans="1:10" ht="12.75">
      <c r="A224" s="446" t="s">
        <v>698</v>
      </c>
      <c r="B224" s="465" t="s">
        <v>406</v>
      </c>
      <c r="C224" s="441">
        <v>88248</v>
      </c>
      <c r="D224" s="467" t="s">
        <v>739</v>
      </c>
      <c r="E224" s="432" t="s">
        <v>740</v>
      </c>
      <c r="F224" s="111">
        <v>0.73599999999999999</v>
      </c>
      <c r="G224" s="466">
        <v>26.14</v>
      </c>
      <c r="H224" s="52"/>
      <c r="I224" s="56">
        <f>F224*G224</f>
        <v>19.239039999999999</v>
      </c>
      <c r="J224" s="54">
        <f t="shared" si="27"/>
        <v>19.239039999999999</v>
      </c>
    </row>
    <row r="225" spans="1:10" ht="12.75">
      <c r="A225" s="446" t="s">
        <v>698</v>
      </c>
      <c r="B225" s="465" t="s">
        <v>406</v>
      </c>
      <c r="C225" s="441">
        <v>88267</v>
      </c>
      <c r="D225" s="467" t="s">
        <v>741</v>
      </c>
      <c r="E225" s="432" t="s">
        <v>740</v>
      </c>
      <c r="F225" s="111">
        <f>F224</f>
        <v>0.73599999999999999</v>
      </c>
      <c r="G225" s="466">
        <v>32.130000000000003</v>
      </c>
      <c r="H225" s="55"/>
      <c r="I225" s="56">
        <f>F225*G225</f>
        <v>23.647680000000001</v>
      </c>
      <c r="J225" s="54">
        <f t="shared" si="27"/>
        <v>23.647680000000001</v>
      </c>
    </row>
    <row r="226" spans="1:10" ht="12.75">
      <c r="A226" s="449"/>
      <c r="B226" s="469"/>
      <c r="C226" s="450"/>
      <c r="D226" s="451" t="s">
        <v>696</v>
      </c>
      <c r="E226" s="470"/>
      <c r="F226" s="61"/>
      <c r="G226" s="58"/>
      <c r="H226" s="59">
        <f>SUM(H221:H225)</f>
        <v>47.530609999999996</v>
      </c>
      <c r="I226" s="59">
        <f>SUM(I221:I225)</f>
        <v>42.886719999999997</v>
      </c>
      <c r="J226" s="60">
        <f>SUM(H226:I226)</f>
        <v>90.417329999999993</v>
      </c>
    </row>
    <row r="227" spans="1:10" ht="12.75">
      <c r="A227" s="469" t="s">
        <v>1052</v>
      </c>
      <c r="B227" s="1027" t="s">
        <v>1165</v>
      </c>
      <c r="C227" s="1028"/>
      <c r="D227" s="1028"/>
      <c r="E227" s="457"/>
      <c r="F227" s="457"/>
      <c r="G227" s="457"/>
      <c r="H227" s="457"/>
      <c r="I227" s="457"/>
      <c r="J227" s="458"/>
    </row>
    <row r="228" spans="1:10" ht="12.75">
      <c r="A228" s="401"/>
      <c r="B228" s="401"/>
      <c r="C228" s="401"/>
      <c r="D228" s="401"/>
      <c r="E228" s="63"/>
      <c r="F228" s="63"/>
      <c r="G228" s="63"/>
      <c r="H228" s="63"/>
      <c r="I228" s="63"/>
      <c r="J228" s="63"/>
    </row>
    <row r="229" spans="1:10" ht="12.75">
      <c r="A229" s="463" t="s">
        <v>697</v>
      </c>
      <c r="B229" s="463"/>
      <c r="C229" s="438" t="s">
        <v>1346</v>
      </c>
      <c r="D229" s="464" t="s">
        <v>1200</v>
      </c>
      <c r="E229" s="440" t="s">
        <v>700</v>
      </c>
      <c r="F229" s="440" t="s">
        <v>692</v>
      </c>
      <c r="G229" s="376" t="s">
        <v>693</v>
      </c>
      <c r="H229" s="440" t="s">
        <v>694</v>
      </c>
      <c r="I229" s="440" t="s">
        <v>695</v>
      </c>
      <c r="J229" s="440" t="s">
        <v>696</v>
      </c>
    </row>
    <row r="230" spans="1:10" ht="12.75">
      <c r="A230" s="446" t="s">
        <v>698</v>
      </c>
      <c r="B230" s="465" t="s">
        <v>409</v>
      </c>
      <c r="C230" s="472">
        <v>787</v>
      </c>
      <c r="D230" s="471" t="s">
        <v>1367</v>
      </c>
      <c r="E230" s="55" t="s">
        <v>15</v>
      </c>
      <c r="F230" s="51">
        <v>1</v>
      </c>
      <c r="G230" s="466">
        <v>46.86</v>
      </c>
      <c r="H230" s="52">
        <f>F230*G230</f>
        <v>46.86</v>
      </c>
      <c r="I230" s="53"/>
      <c r="J230" s="54">
        <f>SUM(H230:I230)</f>
        <v>46.86</v>
      </c>
    </row>
    <row r="231" spans="1:10" ht="12.75">
      <c r="A231" s="446" t="s">
        <v>698</v>
      </c>
      <c r="B231" s="465" t="s">
        <v>409</v>
      </c>
      <c r="C231" s="467" t="s">
        <v>511</v>
      </c>
      <c r="D231" s="467" t="s">
        <v>738</v>
      </c>
      <c r="E231" s="55" t="s">
        <v>13</v>
      </c>
      <c r="F231" s="51">
        <v>0.03</v>
      </c>
      <c r="G231" s="466">
        <v>11.8</v>
      </c>
      <c r="H231" s="52">
        <f t="shared" ref="H231:H232" si="28">F231*G231</f>
        <v>0.35399999999999998</v>
      </c>
      <c r="I231" s="53"/>
      <c r="J231" s="54">
        <f t="shared" ref="J231:J234" si="29">SUM(H231:I231)</f>
        <v>0.35399999999999998</v>
      </c>
    </row>
    <row r="232" spans="1:10" ht="12.75">
      <c r="A232" s="446" t="s">
        <v>698</v>
      </c>
      <c r="B232" s="465" t="s">
        <v>409</v>
      </c>
      <c r="C232" s="468">
        <v>7307</v>
      </c>
      <c r="D232" s="467" t="s">
        <v>1362</v>
      </c>
      <c r="E232" s="55" t="s">
        <v>13</v>
      </c>
      <c r="F232" s="51">
        <v>7.0000000000000001E-3</v>
      </c>
      <c r="G232" s="466">
        <v>45.23</v>
      </c>
      <c r="H232" s="52">
        <f t="shared" si="28"/>
        <v>0.31661</v>
      </c>
      <c r="I232" s="53"/>
      <c r="J232" s="54">
        <f t="shared" si="29"/>
        <v>0.31661</v>
      </c>
    </row>
    <row r="233" spans="1:10" ht="12.75">
      <c r="A233" s="446" t="s">
        <v>698</v>
      </c>
      <c r="B233" s="465" t="s">
        <v>406</v>
      </c>
      <c r="C233" s="441">
        <v>88248</v>
      </c>
      <c r="D233" s="467" t="s">
        <v>739</v>
      </c>
      <c r="E233" s="432" t="s">
        <v>740</v>
      </c>
      <c r="F233" s="111">
        <v>0.73599999999999999</v>
      </c>
      <c r="G233" s="466">
        <v>26.14</v>
      </c>
      <c r="H233" s="52"/>
      <c r="I233" s="56">
        <f>F233*G233</f>
        <v>19.239039999999999</v>
      </c>
      <c r="J233" s="54">
        <f t="shared" si="29"/>
        <v>19.239039999999999</v>
      </c>
    </row>
    <row r="234" spans="1:10" ht="12.75">
      <c r="A234" s="446" t="s">
        <v>698</v>
      </c>
      <c r="B234" s="465" t="s">
        <v>406</v>
      </c>
      <c r="C234" s="441">
        <v>88267</v>
      </c>
      <c r="D234" s="467" t="s">
        <v>741</v>
      </c>
      <c r="E234" s="432" t="s">
        <v>740</v>
      </c>
      <c r="F234" s="111">
        <f>F233</f>
        <v>0.73599999999999999</v>
      </c>
      <c r="G234" s="466">
        <v>32.130000000000003</v>
      </c>
      <c r="H234" s="55"/>
      <c r="I234" s="56">
        <f>F234*G234</f>
        <v>23.647680000000001</v>
      </c>
      <c r="J234" s="54">
        <f t="shared" si="29"/>
        <v>23.647680000000001</v>
      </c>
    </row>
    <row r="235" spans="1:10" ht="12.75">
      <c r="A235" s="449"/>
      <c r="B235" s="469"/>
      <c r="C235" s="450"/>
      <c r="D235" s="451" t="s">
        <v>696</v>
      </c>
      <c r="E235" s="470"/>
      <c r="F235" s="61"/>
      <c r="G235" s="58"/>
      <c r="H235" s="59">
        <f>SUM(H230:H234)</f>
        <v>47.530609999999996</v>
      </c>
      <c r="I235" s="59">
        <f>SUM(I230:I234)</f>
        <v>42.886719999999997</v>
      </c>
      <c r="J235" s="60">
        <f>SUM(H235:I235)</f>
        <v>90.417329999999993</v>
      </c>
    </row>
    <row r="236" spans="1:10" ht="12.75">
      <c r="A236" s="469" t="s">
        <v>1052</v>
      </c>
      <c r="B236" s="1027" t="s">
        <v>1165</v>
      </c>
      <c r="C236" s="1028"/>
      <c r="D236" s="1028"/>
      <c r="E236" s="457"/>
      <c r="F236" s="457"/>
      <c r="G236" s="457"/>
      <c r="H236" s="457"/>
      <c r="I236" s="457"/>
      <c r="J236" s="458"/>
    </row>
    <row r="237" spans="1:10" ht="12.75">
      <c r="A237" s="401"/>
      <c r="B237" s="401"/>
      <c r="C237" s="401"/>
      <c r="D237" s="401"/>
      <c r="E237" s="63"/>
      <c r="F237" s="63"/>
      <c r="G237" s="63"/>
      <c r="H237" s="63"/>
      <c r="I237" s="63"/>
      <c r="J237" s="63"/>
    </row>
    <row r="238" spans="1:10" ht="12.75">
      <c r="A238" s="463" t="s">
        <v>697</v>
      </c>
      <c r="B238" s="463"/>
      <c r="C238" s="438" t="s">
        <v>1347</v>
      </c>
      <c r="D238" s="464" t="s">
        <v>1201</v>
      </c>
      <c r="E238" s="440" t="s">
        <v>700</v>
      </c>
      <c r="F238" s="440" t="s">
        <v>692</v>
      </c>
      <c r="G238" s="376" t="s">
        <v>693</v>
      </c>
      <c r="H238" s="440" t="s">
        <v>694</v>
      </c>
      <c r="I238" s="440" t="s">
        <v>695</v>
      </c>
      <c r="J238" s="440" t="s">
        <v>696</v>
      </c>
    </row>
    <row r="239" spans="1:10" ht="12.75">
      <c r="A239" s="446" t="s">
        <v>698</v>
      </c>
      <c r="B239" s="465" t="s">
        <v>409</v>
      </c>
      <c r="C239" s="472">
        <v>775</v>
      </c>
      <c r="D239" s="471" t="s">
        <v>1369</v>
      </c>
      <c r="E239" s="55" t="s">
        <v>15</v>
      </c>
      <c r="F239" s="51">
        <v>1</v>
      </c>
      <c r="G239" s="466">
        <v>46.86</v>
      </c>
      <c r="H239" s="52">
        <f>F239*G239</f>
        <v>46.86</v>
      </c>
      <c r="I239" s="53"/>
      <c r="J239" s="54">
        <f>SUM(H239:I239)</f>
        <v>46.86</v>
      </c>
    </row>
    <row r="240" spans="1:10" ht="12.75">
      <c r="A240" s="446" t="s">
        <v>698</v>
      </c>
      <c r="B240" s="465" t="s">
        <v>409</v>
      </c>
      <c r="C240" s="467" t="s">
        <v>511</v>
      </c>
      <c r="D240" s="467" t="s">
        <v>738</v>
      </c>
      <c r="E240" s="55" t="s">
        <v>13</v>
      </c>
      <c r="F240" s="51">
        <v>0.03</v>
      </c>
      <c r="G240" s="466">
        <v>11.8</v>
      </c>
      <c r="H240" s="52">
        <f t="shared" ref="H240:H241" si="30">F240*G240</f>
        <v>0.35399999999999998</v>
      </c>
      <c r="I240" s="53"/>
      <c r="J240" s="54">
        <f t="shared" ref="J240:J243" si="31">SUM(H240:I240)</f>
        <v>0.35399999999999998</v>
      </c>
    </row>
    <row r="241" spans="1:10" ht="12.75">
      <c r="A241" s="446" t="s">
        <v>698</v>
      </c>
      <c r="B241" s="465" t="s">
        <v>409</v>
      </c>
      <c r="C241" s="468">
        <v>7307</v>
      </c>
      <c r="D241" s="467" t="s">
        <v>1362</v>
      </c>
      <c r="E241" s="55" t="s">
        <v>13</v>
      </c>
      <c r="F241" s="51">
        <v>7.0000000000000001E-3</v>
      </c>
      <c r="G241" s="466">
        <v>45.23</v>
      </c>
      <c r="H241" s="52">
        <f t="shared" si="30"/>
        <v>0.31661</v>
      </c>
      <c r="I241" s="53"/>
      <c r="J241" s="54">
        <f t="shared" si="31"/>
        <v>0.31661</v>
      </c>
    </row>
    <row r="242" spans="1:10" ht="12.75">
      <c r="A242" s="446" t="s">
        <v>698</v>
      </c>
      <c r="B242" s="465" t="s">
        <v>406</v>
      </c>
      <c r="C242" s="441">
        <v>88248</v>
      </c>
      <c r="D242" s="447" t="s">
        <v>739</v>
      </c>
      <c r="E242" s="432" t="s">
        <v>740</v>
      </c>
      <c r="F242" s="111">
        <v>0.73599999999999999</v>
      </c>
      <c r="G242" s="466">
        <v>26.14</v>
      </c>
      <c r="H242" s="52"/>
      <c r="I242" s="56">
        <f>F242*G242</f>
        <v>19.239039999999999</v>
      </c>
      <c r="J242" s="54">
        <f t="shared" si="31"/>
        <v>19.239039999999999</v>
      </c>
    </row>
    <row r="243" spans="1:10" ht="12.75">
      <c r="A243" s="446" t="s">
        <v>698</v>
      </c>
      <c r="B243" s="465" t="s">
        <v>406</v>
      </c>
      <c r="C243" s="441">
        <v>88267</v>
      </c>
      <c r="D243" s="447" t="s">
        <v>741</v>
      </c>
      <c r="E243" s="432" t="s">
        <v>740</v>
      </c>
      <c r="F243" s="111">
        <f>F242</f>
        <v>0.73599999999999999</v>
      </c>
      <c r="G243" s="466">
        <v>32.130000000000003</v>
      </c>
      <c r="H243" s="55"/>
      <c r="I243" s="56">
        <f>F243*G243</f>
        <v>23.647680000000001</v>
      </c>
      <c r="J243" s="54">
        <f t="shared" si="31"/>
        <v>23.647680000000001</v>
      </c>
    </row>
    <row r="244" spans="1:10" ht="12.75">
      <c r="A244" s="449"/>
      <c r="B244" s="469"/>
      <c r="C244" s="450"/>
      <c r="D244" s="451" t="s">
        <v>696</v>
      </c>
      <c r="E244" s="470"/>
      <c r="F244" s="61"/>
      <c r="G244" s="58"/>
      <c r="H244" s="59">
        <f>SUM(H239:H243)</f>
        <v>47.530609999999996</v>
      </c>
      <c r="I244" s="59">
        <f>SUM(I239:I243)</f>
        <v>42.886719999999997</v>
      </c>
      <c r="J244" s="60">
        <f>SUM(H244:I244)</f>
        <v>90.417329999999993</v>
      </c>
    </row>
    <row r="245" spans="1:10" ht="12.75">
      <c r="A245" s="469" t="s">
        <v>1052</v>
      </c>
      <c r="B245" s="1027" t="s">
        <v>1166</v>
      </c>
      <c r="C245" s="1028"/>
      <c r="D245" s="1028"/>
      <c r="E245" s="457"/>
      <c r="F245" s="457"/>
      <c r="G245" s="457"/>
      <c r="H245" s="457"/>
      <c r="I245" s="457"/>
      <c r="J245" s="458"/>
    </row>
    <row r="246" spans="1:10" ht="12.75">
      <c r="A246" s="401"/>
      <c r="B246" s="401"/>
      <c r="C246" s="401"/>
      <c r="D246" s="401"/>
      <c r="E246" s="63"/>
      <c r="F246" s="63"/>
      <c r="G246" s="63"/>
      <c r="H246" s="63"/>
      <c r="I246" s="63"/>
      <c r="J246" s="63"/>
    </row>
    <row r="247" spans="1:10" ht="12.75">
      <c r="A247" s="463" t="s">
        <v>697</v>
      </c>
      <c r="B247" s="463"/>
      <c r="C247" s="438" t="s">
        <v>1348</v>
      </c>
      <c r="D247" s="464" t="s">
        <v>1202</v>
      </c>
      <c r="E247" s="440" t="s">
        <v>700</v>
      </c>
      <c r="F247" s="440" t="s">
        <v>692</v>
      </c>
      <c r="G247" s="376" t="s">
        <v>693</v>
      </c>
      <c r="H247" s="440" t="s">
        <v>694</v>
      </c>
      <c r="I247" s="440" t="s">
        <v>695</v>
      </c>
      <c r="J247" s="440" t="s">
        <v>696</v>
      </c>
    </row>
    <row r="248" spans="1:10" ht="12.75">
      <c r="A248" s="446" t="s">
        <v>698</v>
      </c>
      <c r="B248" s="465" t="s">
        <v>409</v>
      </c>
      <c r="C248" s="472">
        <v>778</v>
      </c>
      <c r="D248" s="471" t="s">
        <v>1370</v>
      </c>
      <c r="E248" s="55" t="s">
        <v>15</v>
      </c>
      <c r="F248" s="51">
        <v>1</v>
      </c>
      <c r="G248" s="466">
        <v>69.08</v>
      </c>
      <c r="H248" s="52">
        <f>F248*G248</f>
        <v>69.08</v>
      </c>
      <c r="I248" s="53"/>
      <c r="J248" s="54">
        <f>SUM(H248:I248)</f>
        <v>69.08</v>
      </c>
    </row>
    <row r="249" spans="1:10" ht="12.75">
      <c r="A249" s="446" t="s">
        <v>698</v>
      </c>
      <c r="B249" s="465" t="s">
        <v>409</v>
      </c>
      <c r="C249" s="467" t="s">
        <v>511</v>
      </c>
      <c r="D249" s="467" t="s">
        <v>738</v>
      </c>
      <c r="E249" s="55" t="s">
        <v>13</v>
      </c>
      <c r="F249" s="51">
        <v>3.5000000000000003E-2</v>
      </c>
      <c r="G249" s="466">
        <v>11.8</v>
      </c>
      <c r="H249" s="52">
        <f t="shared" ref="H249:H250" si="32">F249*G249</f>
        <v>0.41300000000000009</v>
      </c>
      <c r="I249" s="53"/>
      <c r="J249" s="54">
        <f t="shared" ref="J249:J252" si="33">SUM(H249:I249)</f>
        <v>0.41300000000000009</v>
      </c>
    </row>
    <row r="250" spans="1:10" ht="12.75">
      <c r="A250" s="446" t="s">
        <v>698</v>
      </c>
      <c r="B250" s="465" t="s">
        <v>409</v>
      </c>
      <c r="C250" s="468">
        <v>7307</v>
      </c>
      <c r="D250" s="467" t="s">
        <v>1362</v>
      </c>
      <c r="E250" s="55" t="s">
        <v>13</v>
      </c>
      <c r="F250" s="51">
        <v>8.0000000000000002E-3</v>
      </c>
      <c r="G250" s="466">
        <v>45.23</v>
      </c>
      <c r="H250" s="52">
        <f t="shared" si="32"/>
        <v>0.36183999999999999</v>
      </c>
      <c r="I250" s="53"/>
      <c r="J250" s="54">
        <f t="shared" si="33"/>
        <v>0.36183999999999999</v>
      </c>
    </row>
    <row r="251" spans="1:10" ht="12.75">
      <c r="A251" s="446" t="s">
        <v>698</v>
      </c>
      <c r="B251" s="465" t="s">
        <v>406</v>
      </c>
      <c r="C251" s="441">
        <v>88248</v>
      </c>
      <c r="D251" s="447" t="s">
        <v>739</v>
      </c>
      <c r="E251" s="432" t="s">
        <v>740</v>
      </c>
      <c r="F251" s="111">
        <v>0.82799999999999996</v>
      </c>
      <c r="G251" s="466">
        <v>26.14</v>
      </c>
      <c r="H251" s="52"/>
      <c r="I251" s="56">
        <f>F251*G251</f>
        <v>21.643919999999998</v>
      </c>
      <c r="J251" s="54">
        <f t="shared" si="33"/>
        <v>21.643919999999998</v>
      </c>
    </row>
    <row r="252" spans="1:10" ht="12.75">
      <c r="A252" s="446" t="s">
        <v>698</v>
      </c>
      <c r="B252" s="465" t="s">
        <v>406</v>
      </c>
      <c r="C252" s="441">
        <v>88267</v>
      </c>
      <c r="D252" s="447" t="s">
        <v>741</v>
      </c>
      <c r="E252" s="432" t="s">
        <v>740</v>
      </c>
      <c r="F252" s="111">
        <f>F251</f>
        <v>0.82799999999999996</v>
      </c>
      <c r="G252" s="466">
        <v>32.130000000000003</v>
      </c>
      <c r="H252" s="55"/>
      <c r="I252" s="56">
        <f>F252*G252</f>
        <v>26.603640000000002</v>
      </c>
      <c r="J252" s="54">
        <f t="shared" si="33"/>
        <v>26.603640000000002</v>
      </c>
    </row>
    <row r="253" spans="1:10" ht="12.75">
      <c r="A253" s="449"/>
      <c r="B253" s="469"/>
      <c r="C253" s="450"/>
      <c r="D253" s="451" t="s">
        <v>696</v>
      </c>
      <c r="E253" s="470"/>
      <c r="F253" s="61"/>
      <c r="G253" s="58"/>
      <c r="H253" s="59">
        <f>SUM(H248:H252)</f>
        <v>69.854839999999996</v>
      </c>
      <c r="I253" s="59">
        <f>SUM(I248:I252)</f>
        <v>48.24756</v>
      </c>
      <c r="J253" s="60">
        <f>SUM(H253:I253)</f>
        <v>118.10239999999999</v>
      </c>
    </row>
    <row r="254" spans="1:10" ht="12.75">
      <c r="A254" s="469" t="s">
        <v>1052</v>
      </c>
      <c r="B254" s="1027" t="s">
        <v>1167</v>
      </c>
      <c r="C254" s="1028"/>
      <c r="D254" s="1028"/>
      <c r="E254" s="457"/>
      <c r="F254" s="457"/>
      <c r="G254" s="457"/>
      <c r="H254" s="457"/>
      <c r="I254" s="457"/>
      <c r="J254" s="458"/>
    </row>
    <row r="255" spans="1:10" ht="12.75">
      <c r="A255" s="401"/>
      <c r="B255" s="401"/>
      <c r="C255" s="401"/>
      <c r="D255" s="401"/>
      <c r="E255" s="63"/>
      <c r="F255" s="63"/>
      <c r="G255" s="63"/>
      <c r="H255" s="63"/>
      <c r="I255" s="63"/>
      <c r="J255" s="63"/>
    </row>
    <row r="256" spans="1:10" ht="12.75">
      <c r="A256" s="463" t="s">
        <v>697</v>
      </c>
      <c r="B256" s="463"/>
      <c r="C256" s="438" t="s">
        <v>1349</v>
      </c>
      <c r="D256" s="464" t="s">
        <v>1203</v>
      </c>
      <c r="E256" s="440" t="s">
        <v>700</v>
      </c>
      <c r="F256" s="440" t="s">
        <v>692</v>
      </c>
      <c r="G256" s="376" t="s">
        <v>693</v>
      </c>
      <c r="H256" s="440" t="s">
        <v>694</v>
      </c>
      <c r="I256" s="440" t="s">
        <v>695</v>
      </c>
      <c r="J256" s="440" t="s">
        <v>696</v>
      </c>
    </row>
    <row r="257" spans="1:10" ht="12.75">
      <c r="A257" s="446" t="s">
        <v>698</v>
      </c>
      <c r="B257" s="465" t="s">
        <v>409</v>
      </c>
      <c r="C257" s="472">
        <v>780</v>
      </c>
      <c r="D257" s="471" t="s">
        <v>1371</v>
      </c>
      <c r="E257" s="55" t="s">
        <v>15</v>
      </c>
      <c r="F257" s="51">
        <v>1</v>
      </c>
      <c r="G257" s="466">
        <v>67.489999999999995</v>
      </c>
      <c r="H257" s="52">
        <f>F257*G257</f>
        <v>67.489999999999995</v>
      </c>
      <c r="I257" s="53"/>
      <c r="J257" s="54">
        <f>SUM(H257:I257)</f>
        <v>67.489999999999995</v>
      </c>
    </row>
    <row r="258" spans="1:10" ht="12.75">
      <c r="A258" s="446" t="s">
        <v>698</v>
      </c>
      <c r="B258" s="465" t="s">
        <v>409</v>
      </c>
      <c r="C258" s="467" t="s">
        <v>511</v>
      </c>
      <c r="D258" s="467" t="s">
        <v>738</v>
      </c>
      <c r="E258" s="55" t="s">
        <v>13</v>
      </c>
      <c r="F258" s="51">
        <v>3.5000000000000003E-2</v>
      </c>
      <c r="G258" s="466">
        <v>11.8</v>
      </c>
      <c r="H258" s="52">
        <f t="shared" ref="H258:H259" si="34">F258*G258</f>
        <v>0.41300000000000009</v>
      </c>
      <c r="I258" s="53"/>
      <c r="J258" s="54">
        <f t="shared" ref="J258:J261" si="35">SUM(H258:I258)</f>
        <v>0.41300000000000009</v>
      </c>
    </row>
    <row r="259" spans="1:10" ht="12.75">
      <c r="A259" s="446" t="s">
        <v>698</v>
      </c>
      <c r="B259" s="465" t="s">
        <v>409</v>
      </c>
      <c r="C259" s="468">
        <v>7307</v>
      </c>
      <c r="D259" s="467" t="s">
        <v>1362</v>
      </c>
      <c r="E259" s="55" t="s">
        <v>13</v>
      </c>
      <c r="F259" s="51">
        <v>8.0000000000000002E-3</v>
      </c>
      <c r="G259" s="466">
        <v>45.23</v>
      </c>
      <c r="H259" s="52">
        <f t="shared" si="34"/>
        <v>0.36183999999999999</v>
      </c>
      <c r="I259" s="53"/>
      <c r="J259" s="54">
        <f t="shared" si="35"/>
        <v>0.36183999999999999</v>
      </c>
    </row>
    <row r="260" spans="1:10" ht="12.75">
      <c r="A260" s="446" t="s">
        <v>698</v>
      </c>
      <c r="B260" s="465" t="s">
        <v>406</v>
      </c>
      <c r="C260" s="441">
        <v>88248</v>
      </c>
      <c r="D260" s="447" t="s">
        <v>739</v>
      </c>
      <c r="E260" s="432" t="s">
        <v>740</v>
      </c>
      <c r="F260" s="111">
        <v>0.82799999999999996</v>
      </c>
      <c r="G260" s="466">
        <v>26.14</v>
      </c>
      <c r="H260" s="52"/>
      <c r="I260" s="56">
        <f>F260*G260</f>
        <v>21.643919999999998</v>
      </c>
      <c r="J260" s="54">
        <f t="shared" si="35"/>
        <v>21.643919999999998</v>
      </c>
    </row>
    <row r="261" spans="1:10" ht="12.75">
      <c r="A261" s="446" t="s">
        <v>698</v>
      </c>
      <c r="B261" s="465" t="s">
        <v>406</v>
      </c>
      <c r="C261" s="441">
        <v>88267</v>
      </c>
      <c r="D261" s="447" t="s">
        <v>741</v>
      </c>
      <c r="E261" s="432" t="s">
        <v>740</v>
      </c>
      <c r="F261" s="111">
        <f>F260</f>
        <v>0.82799999999999996</v>
      </c>
      <c r="G261" s="466">
        <v>32.130000000000003</v>
      </c>
      <c r="H261" s="55"/>
      <c r="I261" s="56">
        <f>F261*G261</f>
        <v>26.603640000000002</v>
      </c>
      <c r="J261" s="54">
        <f t="shared" si="35"/>
        <v>26.603640000000002</v>
      </c>
    </row>
    <row r="262" spans="1:10" ht="12.75">
      <c r="A262" s="449"/>
      <c r="B262" s="469"/>
      <c r="C262" s="476"/>
      <c r="D262" s="451" t="s">
        <v>696</v>
      </c>
      <c r="E262" s="470"/>
      <c r="F262" s="61"/>
      <c r="G262" s="58"/>
      <c r="H262" s="59">
        <f>SUM(H257:H261)</f>
        <v>68.264839999999992</v>
      </c>
      <c r="I262" s="59">
        <f>SUM(I257:I261)</f>
        <v>48.24756</v>
      </c>
      <c r="J262" s="60">
        <f>SUM(H262:I262)</f>
        <v>116.51239999999999</v>
      </c>
    </row>
    <row r="263" spans="1:10" ht="12.75">
      <c r="A263" s="469" t="s">
        <v>1052</v>
      </c>
      <c r="B263" s="1027" t="s">
        <v>1168</v>
      </c>
      <c r="C263" s="1028"/>
      <c r="D263" s="1028"/>
      <c r="E263" s="457"/>
      <c r="F263" s="457"/>
      <c r="G263" s="457"/>
      <c r="H263" s="457"/>
      <c r="I263" s="457"/>
      <c r="J263" s="458"/>
    </row>
    <row r="264" spans="1:10" ht="12.75">
      <c r="A264" s="401"/>
      <c r="B264" s="401"/>
      <c r="C264" s="401"/>
      <c r="D264" s="401"/>
      <c r="E264" s="63"/>
      <c r="F264" s="63"/>
      <c r="G264" s="63"/>
      <c r="H264" s="63"/>
      <c r="I264" s="63"/>
      <c r="J264" s="63"/>
    </row>
    <row r="265" spans="1:10" ht="12.75">
      <c r="A265" s="463" t="s">
        <v>697</v>
      </c>
      <c r="B265" s="463"/>
      <c r="C265" s="438" t="s">
        <v>1350</v>
      </c>
      <c r="D265" s="464" t="s">
        <v>1204</v>
      </c>
      <c r="E265" s="440" t="s">
        <v>700</v>
      </c>
      <c r="F265" s="440" t="s">
        <v>692</v>
      </c>
      <c r="G265" s="376" t="s">
        <v>693</v>
      </c>
      <c r="H265" s="440" t="s">
        <v>694</v>
      </c>
      <c r="I265" s="440" t="s">
        <v>695</v>
      </c>
      <c r="J265" s="440" t="s">
        <v>696</v>
      </c>
    </row>
    <row r="266" spans="1:10" ht="12.75">
      <c r="A266" s="446" t="s">
        <v>698</v>
      </c>
      <c r="B266" s="465" t="s">
        <v>409</v>
      </c>
      <c r="C266" s="473">
        <v>785</v>
      </c>
      <c r="D266" s="401" t="s">
        <v>1206</v>
      </c>
      <c r="E266" s="55" t="s">
        <v>15</v>
      </c>
      <c r="F266" s="51">
        <v>1</v>
      </c>
      <c r="G266" s="466">
        <v>369.07</v>
      </c>
      <c r="H266" s="52">
        <f>F266*G266</f>
        <v>369.07</v>
      </c>
      <c r="I266" s="53"/>
      <c r="J266" s="54">
        <f>SUM(H266:I266)</f>
        <v>369.07</v>
      </c>
    </row>
    <row r="267" spans="1:10" ht="12.75">
      <c r="A267" s="446" t="s">
        <v>698</v>
      </c>
      <c r="B267" s="465" t="s">
        <v>409</v>
      </c>
      <c r="C267" s="441">
        <v>782</v>
      </c>
      <c r="D267" s="474" t="s">
        <v>1207</v>
      </c>
      <c r="E267" s="55" t="s">
        <v>15</v>
      </c>
      <c r="F267" s="51">
        <v>1</v>
      </c>
      <c r="G267" s="466">
        <v>127.63</v>
      </c>
      <c r="H267" s="52"/>
      <c r="I267" s="53"/>
      <c r="J267" s="54">
        <f t="shared" ref="J267:J271" si="36">SUM(H267:I267)</f>
        <v>0</v>
      </c>
    </row>
    <row r="268" spans="1:10" ht="12.75">
      <c r="A268" s="446" t="s">
        <v>698</v>
      </c>
      <c r="B268" s="465" t="s">
        <v>409</v>
      </c>
      <c r="C268" s="475" t="s">
        <v>511</v>
      </c>
      <c r="D268" s="467" t="s">
        <v>738</v>
      </c>
      <c r="E268" s="55" t="s">
        <v>13</v>
      </c>
      <c r="F268" s="51">
        <v>7.0000000000000007E-2</v>
      </c>
      <c r="G268" s="466">
        <v>11.8</v>
      </c>
      <c r="H268" s="52">
        <f t="shared" ref="H268:H269" si="37">F268*G268</f>
        <v>0.82600000000000018</v>
      </c>
      <c r="I268" s="53"/>
      <c r="J268" s="54">
        <f t="shared" si="36"/>
        <v>0.82600000000000018</v>
      </c>
    </row>
    <row r="269" spans="1:10" ht="12.75">
      <c r="A269" s="446" t="s">
        <v>698</v>
      </c>
      <c r="B269" s="465" t="s">
        <v>409</v>
      </c>
      <c r="C269" s="468">
        <v>7307</v>
      </c>
      <c r="D269" s="467" t="s">
        <v>1362</v>
      </c>
      <c r="E269" s="55" t="s">
        <v>13</v>
      </c>
      <c r="F269" s="51">
        <v>1.6E-2</v>
      </c>
      <c r="G269" s="466">
        <v>45.23</v>
      </c>
      <c r="H269" s="52">
        <f t="shared" si="37"/>
        <v>0.72367999999999999</v>
      </c>
      <c r="I269" s="53"/>
      <c r="J269" s="54">
        <f t="shared" si="36"/>
        <v>0.72367999999999999</v>
      </c>
    </row>
    <row r="270" spans="1:10" ht="12.75">
      <c r="A270" s="446" t="s">
        <v>698</v>
      </c>
      <c r="B270" s="465" t="s">
        <v>406</v>
      </c>
      <c r="C270" s="441">
        <v>88248</v>
      </c>
      <c r="D270" s="447" t="s">
        <v>739</v>
      </c>
      <c r="E270" s="432" t="s">
        <v>740</v>
      </c>
      <c r="F270" s="111">
        <v>1.169</v>
      </c>
      <c r="G270" s="466">
        <v>26.14</v>
      </c>
      <c r="H270" s="52"/>
      <c r="I270" s="56">
        <f>F270*G270</f>
        <v>30.557660000000002</v>
      </c>
      <c r="J270" s="54">
        <f t="shared" si="36"/>
        <v>30.557660000000002</v>
      </c>
    </row>
    <row r="271" spans="1:10" ht="12.75">
      <c r="A271" s="446" t="s">
        <v>698</v>
      </c>
      <c r="B271" s="465" t="s">
        <v>406</v>
      </c>
      <c r="C271" s="441">
        <v>88267</v>
      </c>
      <c r="D271" s="447" t="s">
        <v>741</v>
      </c>
      <c r="E271" s="432" t="s">
        <v>740</v>
      </c>
      <c r="F271" s="111">
        <v>0.74399999999999999</v>
      </c>
      <c r="G271" s="466">
        <v>32.130000000000003</v>
      </c>
      <c r="H271" s="55"/>
      <c r="I271" s="56">
        <f>F271*G271</f>
        <v>23.904720000000001</v>
      </c>
      <c r="J271" s="54">
        <f t="shared" si="36"/>
        <v>23.904720000000001</v>
      </c>
    </row>
    <row r="272" spans="1:10" ht="12.75">
      <c r="A272" s="449"/>
      <c r="B272" s="469"/>
      <c r="C272" s="476"/>
      <c r="D272" s="451" t="s">
        <v>696</v>
      </c>
      <c r="E272" s="470"/>
      <c r="F272" s="61"/>
      <c r="G272" s="58"/>
      <c r="H272" s="59">
        <f>SUM(H266:H271)</f>
        <v>370.61968000000002</v>
      </c>
      <c r="I272" s="59">
        <f>SUM(I266:I271)</f>
        <v>54.462380000000003</v>
      </c>
      <c r="J272" s="60">
        <f>SUM(H272:I272)</f>
        <v>425.08206000000001</v>
      </c>
    </row>
    <row r="273" spans="1:10" ht="12.75">
      <c r="A273" s="469" t="s">
        <v>1052</v>
      </c>
      <c r="B273" s="1027" t="s">
        <v>1169</v>
      </c>
      <c r="C273" s="1028"/>
      <c r="D273" s="1028"/>
      <c r="E273" s="457"/>
      <c r="F273" s="457"/>
      <c r="G273" s="457"/>
      <c r="H273" s="457"/>
      <c r="I273" s="457"/>
      <c r="J273" s="458"/>
    </row>
    <row r="274" spans="1:10" ht="12.75">
      <c r="A274" s="401"/>
      <c r="B274" s="401"/>
      <c r="C274" s="401"/>
      <c r="D274" s="401"/>
      <c r="E274" s="63"/>
      <c r="F274" s="63"/>
      <c r="G274" s="63"/>
      <c r="H274" s="63"/>
      <c r="I274" s="63"/>
      <c r="J274" s="63"/>
    </row>
    <row r="275" spans="1:10" ht="12.75">
      <c r="A275" s="463" t="s">
        <v>697</v>
      </c>
      <c r="B275" s="463"/>
      <c r="C275" s="438" t="s">
        <v>1075</v>
      </c>
      <c r="D275" s="464" t="s">
        <v>1209</v>
      </c>
      <c r="E275" s="440" t="s">
        <v>700</v>
      </c>
      <c r="F275" s="440" t="s">
        <v>692</v>
      </c>
      <c r="G275" s="376" t="s">
        <v>693</v>
      </c>
      <c r="H275" s="440" t="s">
        <v>694</v>
      </c>
      <c r="I275" s="440" t="s">
        <v>695</v>
      </c>
      <c r="J275" s="440" t="s">
        <v>696</v>
      </c>
    </row>
    <row r="276" spans="1:10" ht="12.75">
      <c r="A276" s="446" t="s">
        <v>831</v>
      </c>
      <c r="B276" s="465" t="s">
        <v>409</v>
      </c>
      <c r="C276" s="472">
        <v>6301</v>
      </c>
      <c r="D276" s="477" t="s">
        <v>1209</v>
      </c>
      <c r="E276" s="55" t="s">
        <v>15</v>
      </c>
      <c r="F276" s="51">
        <v>1</v>
      </c>
      <c r="G276" s="466">
        <v>1091.78</v>
      </c>
      <c r="H276" s="52">
        <f>F276*G276</f>
        <v>1091.78</v>
      </c>
      <c r="I276" s="53"/>
      <c r="J276" s="54">
        <f>SUM(H276:I276)</f>
        <v>1091.78</v>
      </c>
    </row>
    <row r="277" spans="1:10" ht="12.75">
      <c r="A277" s="446" t="s">
        <v>698</v>
      </c>
      <c r="B277" s="465" t="s">
        <v>409</v>
      </c>
      <c r="C277" s="467" t="s">
        <v>511</v>
      </c>
      <c r="D277" s="467" t="s">
        <v>738</v>
      </c>
      <c r="E277" s="55" t="s">
        <v>13</v>
      </c>
      <c r="F277" s="51">
        <v>0.2298</v>
      </c>
      <c r="G277" s="466">
        <v>11.8</v>
      </c>
      <c r="H277" s="52">
        <f t="shared" ref="H277:H278" si="38">F277*G277</f>
        <v>2.7116400000000001</v>
      </c>
      <c r="I277" s="53"/>
      <c r="J277" s="54">
        <f t="shared" ref="J277:J280" si="39">SUM(H277:I277)</f>
        <v>2.7116400000000001</v>
      </c>
    </row>
    <row r="278" spans="1:10" ht="12.75">
      <c r="A278" s="446" t="s">
        <v>698</v>
      </c>
      <c r="B278" s="465" t="s">
        <v>409</v>
      </c>
      <c r="C278" s="468">
        <v>7307</v>
      </c>
      <c r="D278" s="467" t="s">
        <v>1362</v>
      </c>
      <c r="E278" s="55" t="s">
        <v>13</v>
      </c>
      <c r="F278" s="51">
        <f>0.013*2</f>
        <v>2.5999999999999999E-2</v>
      </c>
      <c r="G278" s="466">
        <v>45.23</v>
      </c>
      <c r="H278" s="52">
        <f t="shared" si="38"/>
        <v>1.1759799999999998</v>
      </c>
      <c r="I278" s="53"/>
      <c r="J278" s="54">
        <f t="shared" si="39"/>
        <v>1.1759799999999998</v>
      </c>
    </row>
    <row r="279" spans="1:10" ht="12.75">
      <c r="A279" s="446" t="s">
        <v>698</v>
      </c>
      <c r="B279" s="465" t="s">
        <v>406</v>
      </c>
      <c r="C279" s="441">
        <v>88248</v>
      </c>
      <c r="D279" s="447" t="s">
        <v>739</v>
      </c>
      <c r="E279" s="432" t="s">
        <v>740</v>
      </c>
      <c r="F279" s="111">
        <v>1.2829999999999999</v>
      </c>
      <c r="G279" s="466">
        <v>26.14</v>
      </c>
      <c r="H279" s="52"/>
      <c r="I279" s="56">
        <f>F279*G279</f>
        <v>33.537619999999997</v>
      </c>
      <c r="J279" s="54">
        <f t="shared" si="39"/>
        <v>33.537619999999997</v>
      </c>
    </row>
    <row r="280" spans="1:10" ht="12.75">
      <c r="A280" s="446" t="s">
        <v>698</v>
      </c>
      <c r="B280" s="465" t="s">
        <v>406</v>
      </c>
      <c r="C280" s="441">
        <v>88267</v>
      </c>
      <c r="D280" s="447" t="s">
        <v>741</v>
      </c>
      <c r="E280" s="432" t="s">
        <v>740</v>
      </c>
      <c r="F280" s="111">
        <v>1.2829999999999999</v>
      </c>
      <c r="G280" s="466">
        <v>32.130000000000003</v>
      </c>
      <c r="H280" s="55"/>
      <c r="I280" s="56">
        <f>F280*G280</f>
        <v>41.222790000000003</v>
      </c>
      <c r="J280" s="54">
        <f t="shared" si="39"/>
        <v>41.222790000000003</v>
      </c>
    </row>
    <row r="281" spans="1:10" ht="12.75">
      <c r="A281" s="449"/>
      <c r="B281" s="469"/>
      <c r="C281" s="450"/>
      <c r="D281" s="451" t="s">
        <v>696</v>
      </c>
      <c r="E281" s="470"/>
      <c r="F281" s="61"/>
      <c r="G281" s="58"/>
      <c r="H281" s="59">
        <f>SUM(H276:H280)</f>
        <v>1095.6676199999999</v>
      </c>
      <c r="I281" s="59">
        <f>SUM(I276:I280)</f>
        <v>74.760410000000007</v>
      </c>
      <c r="J281" s="60">
        <f>SUM(H281:I281)</f>
        <v>1170.42803</v>
      </c>
    </row>
    <row r="282" spans="1:10" ht="12.75">
      <c r="A282" s="469" t="s">
        <v>1052</v>
      </c>
      <c r="B282" s="1027" t="s">
        <v>1170</v>
      </c>
      <c r="C282" s="1028"/>
      <c r="D282" s="1028"/>
      <c r="E282" s="457"/>
      <c r="F282" s="457"/>
      <c r="G282" s="457"/>
      <c r="H282" s="457"/>
      <c r="I282" s="457"/>
      <c r="J282" s="458"/>
    </row>
    <row r="283" spans="1:10" ht="12.75">
      <c r="A283" s="469"/>
      <c r="B283" s="462"/>
      <c r="C283" s="370"/>
      <c r="D283" s="370"/>
      <c r="E283" s="457"/>
      <c r="F283" s="457"/>
      <c r="G283" s="457"/>
      <c r="H283" s="457"/>
      <c r="I283" s="457"/>
      <c r="J283" s="458"/>
    </row>
    <row r="284" spans="1:10" ht="12.75">
      <c r="A284" s="371" t="s">
        <v>736</v>
      </c>
      <c r="B284" s="372"/>
      <c r="C284" s="373" t="s">
        <v>1086</v>
      </c>
      <c r="D284" s="374" t="s">
        <v>1265</v>
      </c>
      <c r="E284" s="376" t="s">
        <v>411</v>
      </c>
      <c r="F284" s="440" t="s">
        <v>692</v>
      </c>
      <c r="G284" s="376" t="s">
        <v>693</v>
      </c>
      <c r="H284" s="440" t="s">
        <v>694</v>
      </c>
      <c r="I284" s="440" t="s">
        <v>695</v>
      </c>
      <c r="J284" s="440" t="s">
        <v>696</v>
      </c>
    </row>
    <row r="285" spans="1:10" ht="12.75">
      <c r="A285" s="377" t="s">
        <v>699</v>
      </c>
      <c r="B285" s="378" t="s">
        <v>409</v>
      </c>
      <c r="C285" s="47" t="s">
        <v>1467</v>
      </c>
      <c r="D285" s="585" t="s">
        <v>1265</v>
      </c>
      <c r="E285" s="411" t="s">
        <v>737</v>
      </c>
      <c r="F285" s="586">
        <v>1</v>
      </c>
      <c r="G285" s="587">
        <v>91.63</v>
      </c>
      <c r="H285" s="395">
        <f>F285*G285</f>
        <v>91.63</v>
      </c>
      <c r="I285" s="395"/>
      <c r="J285" s="588">
        <f>F285*G285</f>
        <v>91.63</v>
      </c>
    </row>
    <row r="286" spans="1:10" ht="12.75">
      <c r="A286" s="377" t="s">
        <v>698</v>
      </c>
      <c r="B286" s="378" t="s">
        <v>406</v>
      </c>
      <c r="C286" s="392">
        <v>88247</v>
      </c>
      <c r="D286" s="576" t="s">
        <v>746</v>
      </c>
      <c r="E286" s="589" t="s">
        <v>740</v>
      </c>
      <c r="F286" s="586">
        <v>1.1000000000000001</v>
      </c>
      <c r="G286" s="407">
        <v>26.96</v>
      </c>
      <c r="H286" s="395"/>
      <c r="I286" s="395">
        <f>F286*G286</f>
        <v>29.656000000000002</v>
      </c>
      <c r="J286" s="588">
        <f>F286*G286</f>
        <v>29.656000000000002</v>
      </c>
    </row>
    <row r="287" spans="1:10" ht="12.75">
      <c r="A287" s="377" t="s">
        <v>698</v>
      </c>
      <c r="B287" s="378" t="s">
        <v>406</v>
      </c>
      <c r="C287" s="392">
        <v>88264</v>
      </c>
      <c r="D287" s="576" t="s">
        <v>747</v>
      </c>
      <c r="E287" s="589" t="s">
        <v>740</v>
      </c>
      <c r="F287" s="586">
        <v>1.1000000000000001</v>
      </c>
      <c r="G287" s="407">
        <v>32.99</v>
      </c>
      <c r="H287" s="395"/>
      <c r="I287" s="395">
        <f>F287*G287-0.01</f>
        <v>36.279000000000011</v>
      </c>
      <c r="J287" s="397">
        <f>F287*G287</f>
        <v>36.289000000000009</v>
      </c>
    </row>
    <row r="288" spans="1:10" ht="12.75">
      <c r="A288" s="590"/>
      <c r="B288" s="591"/>
      <c r="C288" s="592"/>
      <c r="D288" s="405" t="s">
        <v>696</v>
      </c>
      <c r="E288" s="376"/>
      <c r="F288" s="593"/>
      <c r="G288" s="594"/>
      <c r="H288" s="59">
        <f>SUM(H285:H287)</f>
        <v>91.63</v>
      </c>
      <c r="I288" s="59">
        <f>SUM(I285:I287)</f>
        <v>65.935000000000016</v>
      </c>
      <c r="J288" s="386">
        <f>H288+I288</f>
        <v>157.565</v>
      </c>
    </row>
    <row r="289" spans="1:10" ht="12.75">
      <c r="A289" s="384" t="s">
        <v>1052</v>
      </c>
      <c r="B289" s="1029" t="s">
        <v>1088</v>
      </c>
      <c r="C289" s="1030"/>
      <c r="D289" s="1030"/>
      <c r="E289" s="409"/>
      <c r="F289" s="409"/>
      <c r="G289" s="409"/>
      <c r="H289" s="409"/>
      <c r="I289" s="409"/>
      <c r="J289" s="410"/>
    </row>
    <row r="290" spans="1:10" ht="12.75">
      <c r="A290" s="401"/>
      <c r="B290" s="401"/>
      <c r="C290" s="401"/>
      <c r="D290" s="401"/>
      <c r="E290" s="63"/>
      <c r="F290" s="63"/>
      <c r="G290" s="63"/>
      <c r="H290" s="63"/>
      <c r="I290" s="63"/>
      <c r="J290" s="63"/>
    </row>
    <row r="291" spans="1:10" ht="25.5">
      <c r="A291" s="463" t="s">
        <v>697</v>
      </c>
      <c r="B291" s="463"/>
      <c r="C291" s="438" t="s">
        <v>1351</v>
      </c>
      <c r="D291" s="439" t="str">
        <f>D292</f>
        <v>Abraçadeira galvanizada tipo gota para tubulação aço carbono preto roscado sem costura NBR 5580 -Diâmetro 1 1/4''</v>
      </c>
      <c r="E291" s="376" t="s">
        <v>411</v>
      </c>
      <c r="F291" s="440" t="s">
        <v>692</v>
      </c>
      <c r="G291" s="376" t="s">
        <v>693</v>
      </c>
      <c r="H291" s="440" t="s">
        <v>694</v>
      </c>
      <c r="I291" s="440" t="s">
        <v>695</v>
      </c>
      <c r="J291" s="440" t="s">
        <v>696</v>
      </c>
    </row>
    <row r="292" spans="1:10" ht="25.5">
      <c r="A292" s="446" t="s">
        <v>831</v>
      </c>
      <c r="B292" s="465" t="s">
        <v>409</v>
      </c>
      <c r="C292" s="478" t="s">
        <v>1266</v>
      </c>
      <c r="D292" s="471" t="s">
        <v>854</v>
      </c>
      <c r="E292" s="55" t="s">
        <v>737</v>
      </c>
      <c r="F292" s="51">
        <v>1</v>
      </c>
      <c r="G292" s="56">
        <v>2.12</v>
      </c>
      <c r="H292" s="52">
        <f>F292*G292</f>
        <v>2.12</v>
      </c>
      <c r="I292" s="53"/>
      <c r="J292" s="54">
        <f>F292*G292</f>
        <v>2.12</v>
      </c>
    </row>
    <row r="293" spans="1:10" ht="12.75">
      <c r="A293" s="446" t="s">
        <v>698</v>
      </c>
      <c r="B293" s="465" t="s">
        <v>406</v>
      </c>
      <c r="C293" s="441">
        <v>88247</v>
      </c>
      <c r="D293" s="447" t="s">
        <v>746</v>
      </c>
      <c r="E293" s="432" t="s">
        <v>740</v>
      </c>
      <c r="F293" s="111">
        <v>1.2E-2</v>
      </c>
      <c r="G293" s="407">
        <v>26.96</v>
      </c>
      <c r="H293" s="55"/>
      <c r="I293" s="56">
        <f>F293*G293</f>
        <v>0.32352000000000003</v>
      </c>
      <c r="J293" s="57">
        <f>F293*G293</f>
        <v>0.32352000000000003</v>
      </c>
    </row>
    <row r="294" spans="1:10" ht="12.75">
      <c r="A294" s="446" t="s">
        <v>698</v>
      </c>
      <c r="B294" s="465" t="s">
        <v>406</v>
      </c>
      <c r="C294" s="441">
        <v>88264</v>
      </c>
      <c r="D294" s="447" t="s">
        <v>747</v>
      </c>
      <c r="E294" s="432" t="s">
        <v>740</v>
      </c>
      <c r="F294" s="111">
        <v>1.2E-2</v>
      </c>
      <c r="G294" s="479">
        <v>32.99</v>
      </c>
      <c r="H294" s="55"/>
      <c r="I294" s="56">
        <f>F294*G294</f>
        <v>0.39588000000000001</v>
      </c>
      <c r="J294" s="57">
        <f>F294*G294</f>
        <v>0.39588000000000001</v>
      </c>
    </row>
    <row r="295" spans="1:10" ht="12.75">
      <c r="A295" s="449"/>
      <c r="B295" s="441"/>
      <c r="C295" s="476"/>
      <c r="D295" s="451" t="s">
        <v>696</v>
      </c>
      <c r="E295" s="470"/>
      <c r="G295" s="58"/>
      <c r="H295" s="59">
        <f>SUM(H292:H294)</f>
        <v>2.12</v>
      </c>
      <c r="I295" s="59">
        <f>SUM(I292:I294)</f>
        <v>0.71940000000000004</v>
      </c>
      <c r="J295" s="60">
        <f>SUM(J292:J294)</f>
        <v>2.8394000000000004</v>
      </c>
    </row>
    <row r="296" spans="1:10" ht="12.75">
      <c r="A296" s="469" t="s">
        <v>1052</v>
      </c>
      <c r="B296" s="1027" t="s">
        <v>1158</v>
      </c>
      <c r="C296" s="1028"/>
      <c r="D296" s="1028"/>
      <c r="E296" s="457"/>
      <c r="F296" s="457"/>
      <c r="G296" s="457"/>
      <c r="H296" s="457"/>
      <c r="I296" s="457"/>
      <c r="J296" s="458"/>
    </row>
    <row r="297" spans="1:10" ht="12.75">
      <c r="A297" s="401"/>
      <c r="B297" s="401"/>
      <c r="C297" s="401"/>
      <c r="D297" s="401"/>
      <c r="E297" s="63"/>
      <c r="F297" s="63"/>
      <c r="G297" s="63"/>
      <c r="H297" s="63"/>
      <c r="I297" s="63"/>
      <c r="J297" s="63"/>
    </row>
    <row r="298" spans="1:10" ht="25.5">
      <c r="A298" s="463" t="s">
        <v>697</v>
      </c>
      <c r="B298" s="463"/>
      <c r="C298" s="438" t="s">
        <v>1352</v>
      </c>
      <c r="D298" s="439" t="str">
        <f>D299</f>
        <v>Abraçadeira galvanizada tipo gota para tubulação aço carbono preto roscado sem costura NBR 5580 -Diâmetro 1 1/2''</v>
      </c>
      <c r="E298" s="376" t="s">
        <v>411</v>
      </c>
      <c r="F298" s="440" t="s">
        <v>692</v>
      </c>
      <c r="G298" s="376" t="s">
        <v>693</v>
      </c>
      <c r="H298" s="440" t="s">
        <v>694</v>
      </c>
      <c r="I298" s="440" t="s">
        <v>695</v>
      </c>
      <c r="J298" s="440" t="s">
        <v>696</v>
      </c>
    </row>
    <row r="299" spans="1:10" ht="25.5">
      <c r="A299" s="446" t="s">
        <v>831</v>
      </c>
      <c r="B299" s="465" t="s">
        <v>409</v>
      </c>
      <c r="C299" s="478" t="s">
        <v>1267</v>
      </c>
      <c r="D299" s="471" t="s">
        <v>855</v>
      </c>
      <c r="E299" s="55" t="s">
        <v>737</v>
      </c>
      <c r="F299" s="51">
        <v>1</v>
      </c>
      <c r="G299" s="56">
        <v>1.82</v>
      </c>
      <c r="H299" s="52">
        <f>F299*G299</f>
        <v>1.82</v>
      </c>
      <c r="I299" s="53"/>
      <c r="J299" s="54">
        <f>F299*G299</f>
        <v>1.82</v>
      </c>
    </row>
    <row r="300" spans="1:10" ht="12.75">
      <c r="A300" s="446" t="s">
        <v>698</v>
      </c>
      <c r="B300" s="465" t="s">
        <v>406</v>
      </c>
      <c r="C300" s="441">
        <v>88247</v>
      </c>
      <c r="D300" s="447" t="s">
        <v>746</v>
      </c>
      <c r="E300" s="432" t="s">
        <v>740</v>
      </c>
      <c r="F300" s="111">
        <v>1.2E-2</v>
      </c>
      <c r="G300" s="407">
        <v>26.96</v>
      </c>
      <c r="H300" s="55"/>
      <c r="I300" s="56">
        <f>F300*G300</f>
        <v>0.32352000000000003</v>
      </c>
      <c r="J300" s="57">
        <f>F300*G300</f>
        <v>0.32352000000000003</v>
      </c>
    </row>
    <row r="301" spans="1:10" ht="12.75">
      <c r="A301" s="446" t="s">
        <v>698</v>
      </c>
      <c r="B301" s="465" t="s">
        <v>406</v>
      </c>
      <c r="C301" s="441">
        <v>88264</v>
      </c>
      <c r="D301" s="447" t="s">
        <v>747</v>
      </c>
      <c r="E301" s="432" t="s">
        <v>740</v>
      </c>
      <c r="F301" s="111">
        <v>1.2E-2</v>
      </c>
      <c r="G301" s="479">
        <v>32.99</v>
      </c>
      <c r="H301" s="55"/>
      <c r="I301" s="56">
        <f>F301*G301</f>
        <v>0.39588000000000001</v>
      </c>
      <c r="J301" s="57">
        <f>F301*G301</f>
        <v>0.39588000000000001</v>
      </c>
    </row>
    <row r="302" spans="1:10" s="44" customFormat="1" ht="13.5" customHeight="1">
      <c r="A302" s="449"/>
      <c r="B302" s="441"/>
      <c r="C302" s="476"/>
      <c r="D302" s="451" t="s">
        <v>696</v>
      </c>
      <c r="E302" s="470"/>
      <c r="F302" s="61"/>
      <c r="G302" s="58"/>
      <c r="H302" s="59">
        <f>SUM(H299:H301)</f>
        <v>1.82</v>
      </c>
      <c r="I302" s="59">
        <f>SUM(I299:I301)</f>
        <v>0.71940000000000004</v>
      </c>
      <c r="J302" s="60">
        <f>SUM(J299:J301)</f>
        <v>2.5394000000000001</v>
      </c>
    </row>
    <row r="303" spans="1:10" ht="12.75">
      <c r="A303" s="469" t="s">
        <v>1052</v>
      </c>
      <c r="B303" s="1027" t="s">
        <v>1158</v>
      </c>
      <c r="C303" s="1028"/>
      <c r="D303" s="1028"/>
      <c r="E303" s="457"/>
      <c r="F303" s="457"/>
      <c r="G303" s="457"/>
      <c r="H303" s="457"/>
      <c r="I303" s="457"/>
      <c r="J303" s="458"/>
    </row>
    <row r="304" spans="1:10" ht="12.75">
      <c r="A304" s="401"/>
      <c r="B304" s="401"/>
      <c r="C304" s="401"/>
      <c r="D304" s="401"/>
      <c r="E304" s="63"/>
      <c r="F304" s="63"/>
      <c r="G304" s="63"/>
      <c r="H304" s="63"/>
      <c r="I304" s="63"/>
      <c r="J304" s="63"/>
    </row>
    <row r="305" spans="1:10" ht="25.5">
      <c r="A305" s="463" t="s">
        <v>697</v>
      </c>
      <c r="B305" s="463"/>
      <c r="C305" s="438" t="s">
        <v>1353</v>
      </c>
      <c r="D305" s="439" t="str">
        <f>D306</f>
        <v>Abraçadeira galvanizada  tipo gota para tubulação aço carbono preto roscado sem costura NBR 5580 - Diâmetro 2''</v>
      </c>
      <c r="E305" s="376" t="s">
        <v>411</v>
      </c>
      <c r="F305" s="440" t="s">
        <v>692</v>
      </c>
      <c r="G305" s="376" t="s">
        <v>693</v>
      </c>
      <c r="H305" s="440" t="s">
        <v>694</v>
      </c>
      <c r="I305" s="440" t="s">
        <v>695</v>
      </c>
      <c r="J305" s="440" t="s">
        <v>696</v>
      </c>
    </row>
    <row r="306" spans="1:10" ht="25.5">
      <c r="A306" s="446" t="s">
        <v>831</v>
      </c>
      <c r="B306" s="465" t="s">
        <v>409</v>
      </c>
      <c r="C306" s="478" t="s">
        <v>1268</v>
      </c>
      <c r="D306" s="471" t="s">
        <v>856</v>
      </c>
      <c r="E306" s="55" t="s">
        <v>737</v>
      </c>
      <c r="F306" s="51">
        <v>1</v>
      </c>
      <c r="G306" s="56">
        <v>2.5499999999999998</v>
      </c>
      <c r="H306" s="52">
        <f>F306*G306</f>
        <v>2.5499999999999998</v>
      </c>
      <c r="I306" s="53"/>
      <c r="J306" s="54">
        <f>F306*G306</f>
        <v>2.5499999999999998</v>
      </c>
    </row>
    <row r="307" spans="1:10" ht="12.75">
      <c r="A307" s="446" t="s">
        <v>698</v>
      </c>
      <c r="B307" s="465" t="s">
        <v>406</v>
      </c>
      <c r="C307" s="441">
        <v>88247</v>
      </c>
      <c r="D307" s="447" t="s">
        <v>746</v>
      </c>
      <c r="E307" s="432" t="s">
        <v>740</v>
      </c>
      <c r="F307" s="111">
        <v>1.2E-2</v>
      </c>
      <c r="G307" s="407">
        <v>26.96</v>
      </c>
      <c r="H307" s="55"/>
      <c r="I307" s="56">
        <f>F307*G307</f>
        <v>0.32352000000000003</v>
      </c>
      <c r="J307" s="57">
        <f>F307*G307</f>
        <v>0.32352000000000003</v>
      </c>
    </row>
    <row r="308" spans="1:10" ht="12.75">
      <c r="A308" s="446" t="s">
        <v>698</v>
      </c>
      <c r="B308" s="465" t="s">
        <v>406</v>
      </c>
      <c r="C308" s="441">
        <v>88264</v>
      </c>
      <c r="D308" s="447" t="s">
        <v>747</v>
      </c>
      <c r="E308" s="432" t="s">
        <v>740</v>
      </c>
      <c r="F308" s="111">
        <v>1.2E-2</v>
      </c>
      <c r="G308" s="479">
        <v>32.99</v>
      </c>
      <c r="H308" s="55"/>
      <c r="I308" s="56">
        <f>F308*G308</f>
        <v>0.39588000000000001</v>
      </c>
      <c r="J308" s="57">
        <f>F308*G308</f>
        <v>0.39588000000000001</v>
      </c>
    </row>
    <row r="309" spans="1:10" ht="12.75">
      <c r="A309" s="449"/>
      <c r="B309" s="441"/>
      <c r="C309" s="476"/>
      <c r="D309" s="451" t="s">
        <v>696</v>
      </c>
      <c r="E309" s="470"/>
      <c r="F309" s="61"/>
      <c r="G309" s="58"/>
      <c r="H309" s="59">
        <f>SUM(H306:H308)</f>
        <v>2.5499999999999998</v>
      </c>
      <c r="I309" s="59">
        <f>SUM(I306:I308)</f>
        <v>0.71940000000000004</v>
      </c>
      <c r="J309" s="60">
        <f>SUM(J306:J308)</f>
        <v>3.2694000000000001</v>
      </c>
    </row>
    <row r="310" spans="1:10" ht="12.75">
      <c r="A310" s="469" t="s">
        <v>1052</v>
      </c>
      <c r="B310" s="1027" t="s">
        <v>1158</v>
      </c>
      <c r="C310" s="1028"/>
      <c r="D310" s="1028"/>
      <c r="E310" s="457"/>
      <c r="F310" s="457"/>
      <c r="G310" s="457"/>
      <c r="H310" s="457"/>
      <c r="I310" s="457"/>
      <c r="J310" s="458"/>
    </row>
    <row r="311" spans="1:10" ht="12.75">
      <c r="A311" s="401"/>
      <c r="B311" s="401"/>
      <c r="C311" s="401"/>
      <c r="D311" s="401"/>
      <c r="E311" s="63"/>
      <c r="F311" s="63"/>
      <c r="G311" s="63"/>
      <c r="H311" s="63"/>
      <c r="I311" s="63"/>
      <c r="J311" s="63"/>
    </row>
    <row r="312" spans="1:10" ht="25.5">
      <c r="A312" s="463" t="s">
        <v>697</v>
      </c>
      <c r="B312" s="463"/>
      <c r="C312" s="438" t="s">
        <v>1354</v>
      </c>
      <c r="D312" s="439" t="str">
        <f>D313</f>
        <v xml:space="preserve">Abraçadeira galvanizada  tipo gota para tubulação aço carbono preto roscado sem costura NBR 5580 - Diâmetro 2 1/2'' </v>
      </c>
      <c r="E312" s="376" t="s">
        <v>411</v>
      </c>
      <c r="F312" s="440" t="s">
        <v>692</v>
      </c>
      <c r="G312" s="376" t="s">
        <v>693</v>
      </c>
      <c r="H312" s="440" t="s">
        <v>694</v>
      </c>
      <c r="I312" s="440" t="s">
        <v>695</v>
      </c>
      <c r="J312" s="440" t="s">
        <v>696</v>
      </c>
    </row>
    <row r="313" spans="1:10" ht="25.5">
      <c r="A313" s="446" t="s">
        <v>831</v>
      </c>
      <c r="B313" s="465" t="s">
        <v>409</v>
      </c>
      <c r="C313" s="478" t="s">
        <v>1269</v>
      </c>
      <c r="D313" s="471" t="s">
        <v>857</v>
      </c>
      <c r="E313" s="55" t="s">
        <v>737</v>
      </c>
      <c r="F313" s="51">
        <v>1</v>
      </c>
      <c r="G313" s="56">
        <v>3</v>
      </c>
      <c r="H313" s="52">
        <f>F313*G313</f>
        <v>3</v>
      </c>
      <c r="I313" s="53"/>
      <c r="J313" s="54">
        <f>F313*G313</f>
        <v>3</v>
      </c>
    </row>
    <row r="314" spans="1:10" ht="12.75">
      <c r="A314" s="446" t="s">
        <v>698</v>
      </c>
      <c r="B314" s="465" t="s">
        <v>406</v>
      </c>
      <c r="C314" s="441">
        <v>88247</v>
      </c>
      <c r="D314" s="447" t="s">
        <v>746</v>
      </c>
      <c r="E314" s="432" t="s">
        <v>740</v>
      </c>
      <c r="F314" s="111">
        <v>1.2E-2</v>
      </c>
      <c r="G314" s="407">
        <v>26.96</v>
      </c>
      <c r="H314" s="55"/>
      <c r="I314" s="56">
        <f>F314*G314</f>
        <v>0.32352000000000003</v>
      </c>
      <c r="J314" s="57">
        <f>F314*G314</f>
        <v>0.32352000000000003</v>
      </c>
    </row>
    <row r="315" spans="1:10" ht="12.75">
      <c r="A315" s="446" t="s">
        <v>698</v>
      </c>
      <c r="B315" s="465" t="s">
        <v>406</v>
      </c>
      <c r="C315" s="441">
        <v>88264</v>
      </c>
      <c r="D315" s="447" t="s">
        <v>747</v>
      </c>
      <c r="E315" s="432" t="s">
        <v>740</v>
      </c>
      <c r="F315" s="111">
        <v>1.2E-2</v>
      </c>
      <c r="G315" s="479">
        <v>32.99</v>
      </c>
      <c r="H315" s="55"/>
      <c r="I315" s="56">
        <f>F315*G315</f>
        <v>0.39588000000000001</v>
      </c>
      <c r="J315" s="57">
        <f>F315*G315</f>
        <v>0.39588000000000001</v>
      </c>
    </row>
    <row r="316" spans="1:10" ht="12.75">
      <c r="A316" s="449"/>
      <c r="B316" s="478"/>
      <c r="C316" s="465"/>
      <c r="D316" s="451" t="s">
        <v>696</v>
      </c>
      <c r="E316" s="470"/>
      <c r="F316" s="61"/>
      <c r="G316" s="58"/>
      <c r="H316" s="59">
        <f>SUM(H313:H315)</f>
        <v>3</v>
      </c>
      <c r="I316" s="59">
        <f>SUM(I313:I315)</f>
        <v>0.71940000000000004</v>
      </c>
      <c r="J316" s="60">
        <f>SUM(J313:J315)</f>
        <v>3.7194000000000003</v>
      </c>
    </row>
    <row r="317" spans="1:10" ht="12.75">
      <c r="A317" s="469" t="s">
        <v>1052</v>
      </c>
      <c r="B317" s="1027" t="s">
        <v>1158</v>
      </c>
      <c r="C317" s="1028"/>
      <c r="D317" s="1028"/>
      <c r="E317" s="457"/>
      <c r="F317" s="457"/>
      <c r="G317" s="457"/>
      <c r="H317" s="457"/>
      <c r="I317" s="457"/>
      <c r="J317" s="458"/>
    </row>
    <row r="318" spans="1:10" s="44" customFormat="1" ht="13.5" customHeight="1">
      <c r="A318" s="401"/>
      <c r="B318" s="401"/>
      <c r="C318" s="401"/>
      <c r="D318" s="401"/>
      <c r="E318" s="63"/>
      <c r="F318" s="63"/>
      <c r="G318" s="63"/>
      <c r="H318" s="63"/>
      <c r="I318" s="63"/>
      <c r="J318" s="63"/>
    </row>
    <row r="319" spans="1:10" ht="25.5">
      <c r="A319" s="463" t="s">
        <v>697</v>
      </c>
      <c r="B319" s="463"/>
      <c r="C319" s="438" t="s">
        <v>1355</v>
      </c>
      <c r="D319" s="439" t="str">
        <f>D320</f>
        <v xml:space="preserve">Abraçadeira galvanizada  tipo gota para tubulação aço carbono preto roscado sem costura NBR 5580 - Diâmetro 3'' </v>
      </c>
      <c r="E319" s="376" t="s">
        <v>411</v>
      </c>
      <c r="F319" s="440" t="s">
        <v>692</v>
      </c>
      <c r="G319" s="376" t="s">
        <v>693</v>
      </c>
      <c r="H319" s="440" t="s">
        <v>694</v>
      </c>
      <c r="I319" s="440" t="s">
        <v>695</v>
      </c>
      <c r="J319" s="440" t="s">
        <v>696</v>
      </c>
    </row>
    <row r="320" spans="1:10" ht="25.5">
      <c r="A320" s="446" t="s">
        <v>831</v>
      </c>
      <c r="B320" s="465" t="s">
        <v>409</v>
      </c>
      <c r="C320" s="478" t="s">
        <v>1272</v>
      </c>
      <c r="D320" s="471" t="s">
        <v>858</v>
      </c>
      <c r="E320" s="55" t="s">
        <v>737</v>
      </c>
      <c r="F320" s="51">
        <v>1</v>
      </c>
      <c r="G320" s="56">
        <v>4.07</v>
      </c>
      <c r="H320" s="52">
        <f>F320*G320</f>
        <v>4.07</v>
      </c>
      <c r="I320" s="53"/>
      <c r="J320" s="54">
        <f>F320*G320</f>
        <v>4.07</v>
      </c>
    </row>
    <row r="321" spans="1:10" ht="12.75">
      <c r="A321" s="446" t="s">
        <v>698</v>
      </c>
      <c r="B321" s="465" t="s">
        <v>406</v>
      </c>
      <c r="C321" s="441">
        <v>88247</v>
      </c>
      <c r="D321" s="447" t="s">
        <v>746</v>
      </c>
      <c r="E321" s="432" t="s">
        <v>740</v>
      </c>
      <c r="F321" s="111">
        <v>1.2E-2</v>
      </c>
      <c r="G321" s="407">
        <v>26.96</v>
      </c>
      <c r="H321" s="55"/>
      <c r="I321" s="56">
        <f>F321*G321</f>
        <v>0.32352000000000003</v>
      </c>
      <c r="J321" s="57">
        <f>F321*G321</f>
        <v>0.32352000000000003</v>
      </c>
    </row>
    <row r="322" spans="1:10" ht="12.75">
      <c r="A322" s="446" t="s">
        <v>698</v>
      </c>
      <c r="B322" s="465" t="s">
        <v>406</v>
      </c>
      <c r="C322" s="441">
        <v>88264</v>
      </c>
      <c r="D322" s="447" t="s">
        <v>747</v>
      </c>
      <c r="E322" s="432" t="s">
        <v>740</v>
      </c>
      <c r="F322" s="111">
        <v>1.2E-2</v>
      </c>
      <c r="G322" s="479">
        <v>32.99</v>
      </c>
      <c r="H322" s="55"/>
      <c r="I322" s="56">
        <f>F322*G322</f>
        <v>0.39588000000000001</v>
      </c>
      <c r="J322" s="57">
        <f>F322*G322</f>
        <v>0.39588000000000001</v>
      </c>
    </row>
    <row r="323" spans="1:10" ht="12.75">
      <c r="A323" s="449"/>
      <c r="B323" s="469"/>
      <c r="C323" s="450"/>
      <c r="D323" s="451" t="s">
        <v>696</v>
      </c>
      <c r="E323" s="470"/>
      <c r="F323" s="61"/>
      <c r="G323" s="58"/>
      <c r="H323" s="59">
        <f>SUM(H320:H322)</f>
        <v>4.07</v>
      </c>
      <c r="I323" s="59">
        <f>SUM(I320:I322)</f>
        <v>0.71940000000000004</v>
      </c>
      <c r="J323" s="60">
        <f>SUM(J320:J322)</f>
        <v>4.7894000000000005</v>
      </c>
    </row>
    <row r="324" spans="1:10" ht="12.75">
      <c r="A324" s="469" t="s">
        <v>1052</v>
      </c>
      <c r="B324" s="462" t="s">
        <v>1158</v>
      </c>
      <c r="C324" s="370"/>
      <c r="D324" s="370"/>
      <c r="E324" s="457"/>
      <c r="F324" s="457"/>
      <c r="G324" s="457"/>
      <c r="H324" s="457"/>
      <c r="I324" s="457"/>
      <c r="J324" s="458"/>
    </row>
    <row r="325" spans="1:10" ht="12.75">
      <c r="A325" s="524"/>
      <c r="B325" s="524"/>
      <c r="C325" s="524"/>
      <c r="D325" s="595"/>
      <c r="E325" s="596"/>
      <c r="F325" s="596"/>
      <c r="G325" s="596"/>
      <c r="H325" s="597"/>
      <c r="I325" s="597"/>
      <c r="J325" s="561"/>
    </row>
    <row r="326" spans="1:10" ht="12.75">
      <c r="A326" s="463" t="s">
        <v>697</v>
      </c>
      <c r="B326" s="463"/>
      <c r="C326" s="438" t="s">
        <v>1089</v>
      </c>
      <c r="D326" s="439" t="str">
        <f>D327</f>
        <v>Abraçadeira galvanizada tipo gota para tubulação pvc 25mm</v>
      </c>
      <c r="E326" s="376" t="s">
        <v>411</v>
      </c>
      <c r="F326" s="440" t="s">
        <v>692</v>
      </c>
      <c r="G326" s="376" t="s">
        <v>693</v>
      </c>
      <c r="H326" s="440" t="s">
        <v>694</v>
      </c>
      <c r="I326" s="440" t="s">
        <v>695</v>
      </c>
      <c r="J326" s="440" t="s">
        <v>696</v>
      </c>
    </row>
    <row r="327" spans="1:10" ht="12.75">
      <c r="A327" s="463" t="s">
        <v>697</v>
      </c>
      <c r="B327" s="465" t="s">
        <v>409</v>
      </c>
      <c r="C327" s="478" t="s">
        <v>1274</v>
      </c>
      <c r="D327" s="471" t="s">
        <v>901</v>
      </c>
      <c r="E327" s="55" t="s">
        <v>737</v>
      </c>
      <c r="F327" s="51">
        <v>1</v>
      </c>
      <c r="G327" s="56">
        <v>1.73</v>
      </c>
      <c r="H327" s="52">
        <f>F327*G327</f>
        <v>1.73</v>
      </c>
      <c r="I327" s="53"/>
      <c r="J327" s="54">
        <f>F327*G327</f>
        <v>1.73</v>
      </c>
    </row>
    <row r="328" spans="1:10" ht="12.75">
      <c r="A328" s="446" t="s">
        <v>698</v>
      </c>
      <c r="B328" s="465" t="s">
        <v>406</v>
      </c>
      <c r="C328" s="441">
        <v>88247</v>
      </c>
      <c r="D328" s="447" t="s">
        <v>746</v>
      </c>
      <c r="E328" s="432" t="s">
        <v>740</v>
      </c>
      <c r="F328" s="51">
        <v>0.01</v>
      </c>
      <c r="G328" s="407">
        <v>26.96</v>
      </c>
      <c r="H328" s="55"/>
      <c r="I328" s="56">
        <f>F328*G328</f>
        <v>0.26960000000000001</v>
      </c>
      <c r="J328" s="57">
        <f>F328*G328</f>
        <v>0.26960000000000001</v>
      </c>
    </row>
    <row r="329" spans="1:10" ht="12.75">
      <c r="A329" s="446" t="s">
        <v>698</v>
      </c>
      <c r="B329" s="465" t="s">
        <v>406</v>
      </c>
      <c r="C329" s="441">
        <v>88264</v>
      </c>
      <c r="D329" s="447" t="s">
        <v>747</v>
      </c>
      <c r="E329" s="432" t="s">
        <v>740</v>
      </c>
      <c r="F329" s="111" t="s">
        <v>420</v>
      </c>
      <c r="G329" s="479">
        <v>32.99</v>
      </c>
      <c r="H329" s="55"/>
      <c r="I329" s="56">
        <f>F329*G329</f>
        <v>2.2763100000000005</v>
      </c>
      <c r="J329" s="57">
        <f>F329*G329</f>
        <v>2.2763100000000005</v>
      </c>
    </row>
    <row r="330" spans="1:10" ht="12.75">
      <c r="A330" s="449"/>
      <c r="B330" s="441"/>
      <c r="C330" s="476"/>
      <c r="D330" s="451" t="s">
        <v>696</v>
      </c>
      <c r="E330" s="470"/>
      <c r="F330" s="55"/>
      <c r="G330" s="111"/>
      <c r="H330" s="59">
        <f>SUM(H327:H329)</f>
        <v>1.73</v>
      </c>
      <c r="I330" s="59">
        <f>SUM(I327:I329)</f>
        <v>2.5459100000000006</v>
      </c>
      <c r="J330" s="60">
        <f>SUM(J327:J329)</f>
        <v>4.2759100000000005</v>
      </c>
    </row>
    <row r="331" spans="1:10" ht="12.75">
      <c r="A331" s="469" t="s">
        <v>1052</v>
      </c>
      <c r="B331" s="1027" t="s">
        <v>1157</v>
      </c>
      <c r="C331" s="1028"/>
      <c r="D331" s="1028"/>
      <c r="E331" s="457"/>
      <c r="F331" s="457"/>
      <c r="G331" s="457"/>
      <c r="H331" s="457"/>
      <c r="I331" s="457"/>
      <c r="J331" s="458"/>
    </row>
    <row r="332" spans="1:10" ht="12.75">
      <c r="A332" s="449"/>
      <c r="B332" s="449"/>
      <c r="C332" s="449"/>
      <c r="D332" s="451"/>
      <c r="E332" s="61"/>
      <c r="F332" s="61"/>
      <c r="G332" s="61"/>
      <c r="H332" s="536"/>
      <c r="I332" s="536"/>
      <c r="J332" s="598"/>
    </row>
    <row r="333" spans="1:10" ht="12.75">
      <c r="A333" s="537"/>
      <c r="B333" s="463"/>
      <c r="C333" s="438" t="s">
        <v>1093</v>
      </c>
      <c r="D333" s="439" t="str">
        <f>D334</f>
        <v>Abraçadeira galvanizada tipo gota para tubulação pvc 32mm</v>
      </c>
      <c r="E333" s="376" t="s">
        <v>411</v>
      </c>
      <c r="F333" s="440" t="s">
        <v>692</v>
      </c>
      <c r="G333" s="376" t="s">
        <v>693</v>
      </c>
      <c r="H333" s="440" t="s">
        <v>694</v>
      </c>
      <c r="I333" s="440" t="s">
        <v>695</v>
      </c>
      <c r="J333" s="440" t="s">
        <v>696</v>
      </c>
    </row>
    <row r="334" spans="1:10" ht="12.75">
      <c r="A334" s="446" t="s">
        <v>831</v>
      </c>
      <c r="B334" s="465" t="s">
        <v>409</v>
      </c>
      <c r="C334" s="478" t="s">
        <v>1266</v>
      </c>
      <c r="D334" s="471" t="s">
        <v>902</v>
      </c>
      <c r="E334" s="55" t="s">
        <v>737</v>
      </c>
      <c r="F334" s="51">
        <v>1</v>
      </c>
      <c r="G334" s="56">
        <v>2.12</v>
      </c>
      <c r="H334" s="52">
        <f>F334*G334</f>
        <v>2.12</v>
      </c>
      <c r="I334" s="53"/>
      <c r="J334" s="54">
        <f>F334*G334</f>
        <v>2.12</v>
      </c>
    </row>
    <row r="335" spans="1:10" ht="12.75">
      <c r="A335" s="446" t="s">
        <v>698</v>
      </c>
      <c r="B335" s="465" t="s">
        <v>406</v>
      </c>
      <c r="C335" s="441">
        <v>88247</v>
      </c>
      <c r="D335" s="447" t="s">
        <v>746</v>
      </c>
      <c r="E335" s="432" t="s">
        <v>740</v>
      </c>
      <c r="F335" s="51">
        <v>0.01</v>
      </c>
      <c r="G335" s="407">
        <v>26.96</v>
      </c>
      <c r="H335" s="55"/>
      <c r="I335" s="56">
        <f>F335*G335</f>
        <v>0.26960000000000001</v>
      </c>
      <c r="J335" s="57">
        <f>F335*G335</f>
        <v>0.26960000000000001</v>
      </c>
    </row>
    <row r="336" spans="1:10" ht="12.75">
      <c r="A336" s="446" t="s">
        <v>698</v>
      </c>
      <c r="B336" s="465" t="s">
        <v>406</v>
      </c>
      <c r="C336" s="441">
        <v>88264</v>
      </c>
      <c r="D336" s="447" t="s">
        <v>747</v>
      </c>
      <c r="E336" s="432" t="s">
        <v>740</v>
      </c>
      <c r="F336" s="111" t="s">
        <v>420</v>
      </c>
      <c r="G336" s="479">
        <v>32.99</v>
      </c>
      <c r="H336" s="55"/>
      <c r="I336" s="56">
        <f>F336*G336</f>
        <v>2.2763100000000005</v>
      </c>
      <c r="J336" s="57">
        <f>F336*G336</f>
        <v>2.2763100000000005</v>
      </c>
    </row>
    <row r="337" spans="1:10" ht="12.75">
      <c r="A337" s="449"/>
      <c r="B337" s="441"/>
      <c r="C337" s="476"/>
      <c r="D337" s="451" t="s">
        <v>696</v>
      </c>
      <c r="E337" s="470"/>
      <c r="F337" s="55"/>
      <c r="G337" s="55"/>
      <c r="H337" s="59">
        <f>SUM(H334:H336)</f>
        <v>2.12</v>
      </c>
      <c r="I337" s="59">
        <f>SUM(I334:I336)</f>
        <v>2.5459100000000006</v>
      </c>
      <c r="J337" s="60">
        <f>SUM(J334:J336)</f>
        <v>4.6659100000000002</v>
      </c>
    </row>
    <row r="338" spans="1:10" ht="12.75">
      <c r="A338" s="469" t="s">
        <v>1052</v>
      </c>
      <c r="B338" s="1027" t="s">
        <v>1157</v>
      </c>
      <c r="C338" s="1028"/>
      <c r="D338" s="1028"/>
      <c r="E338" s="457"/>
      <c r="F338" s="457"/>
      <c r="G338" s="457"/>
      <c r="H338" s="457"/>
      <c r="I338" s="457"/>
      <c r="J338" s="458"/>
    </row>
    <row r="339" spans="1:10" ht="12.75">
      <c r="A339" s="401"/>
      <c r="B339" s="401"/>
      <c r="C339" s="401"/>
      <c r="D339" s="401"/>
      <c r="E339" s="63"/>
      <c r="F339" s="63"/>
      <c r="G339" s="63"/>
      <c r="H339" s="63"/>
      <c r="I339" s="63"/>
      <c r="J339" s="63"/>
    </row>
    <row r="340" spans="1:10" ht="12.75">
      <c r="A340" s="401"/>
      <c r="B340" s="401"/>
      <c r="C340" s="401"/>
      <c r="D340" s="401"/>
      <c r="E340" s="63"/>
      <c r="F340" s="63"/>
      <c r="G340" s="63"/>
      <c r="H340" s="63"/>
      <c r="I340" s="63"/>
      <c r="J340" s="63"/>
    </row>
    <row r="341" spans="1:10" ht="12.75">
      <c r="A341" s="463" t="s">
        <v>697</v>
      </c>
      <c r="B341" s="463"/>
      <c r="C341" s="438" t="s">
        <v>1092</v>
      </c>
      <c r="D341" s="439" t="str">
        <f>D342</f>
        <v>Abraçadeira galvanizada tipo gota para tubulação pvc 40mm</v>
      </c>
      <c r="E341" s="376" t="s">
        <v>411</v>
      </c>
      <c r="F341" s="440" t="s">
        <v>692</v>
      </c>
      <c r="G341" s="376" t="s">
        <v>693</v>
      </c>
      <c r="H341" s="440" t="s">
        <v>694</v>
      </c>
      <c r="I341" s="440" t="s">
        <v>695</v>
      </c>
      <c r="J341" s="440" t="s">
        <v>696</v>
      </c>
    </row>
    <row r="342" spans="1:10" ht="12.75">
      <c r="A342" s="446" t="s">
        <v>831</v>
      </c>
      <c r="B342" s="465" t="s">
        <v>409</v>
      </c>
      <c r="C342" s="478" t="s">
        <v>1267</v>
      </c>
      <c r="D342" s="471" t="s">
        <v>903</v>
      </c>
      <c r="E342" s="55" t="s">
        <v>737</v>
      </c>
      <c r="F342" s="51">
        <v>1</v>
      </c>
      <c r="G342" s="56">
        <v>1.82</v>
      </c>
      <c r="H342" s="52">
        <f>F342*G342</f>
        <v>1.82</v>
      </c>
      <c r="I342" s="53"/>
      <c r="J342" s="54">
        <f>F342*G342</f>
        <v>1.82</v>
      </c>
    </row>
    <row r="343" spans="1:10" ht="12.75">
      <c r="A343" s="446" t="s">
        <v>698</v>
      </c>
      <c r="B343" s="465" t="s">
        <v>406</v>
      </c>
      <c r="C343" s="441">
        <v>88247</v>
      </c>
      <c r="D343" s="447" t="s">
        <v>746</v>
      </c>
      <c r="E343" s="432" t="s">
        <v>740</v>
      </c>
      <c r="F343" s="111">
        <v>0.01</v>
      </c>
      <c r="G343" s="407">
        <v>26.96</v>
      </c>
      <c r="H343" s="55"/>
      <c r="I343" s="56">
        <f>F343*G343</f>
        <v>0.26960000000000001</v>
      </c>
      <c r="J343" s="57">
        <f>F343*G343</f>
        <v>0.26960000000000001</v>
      </c>
    </row>
    <row r="344" spans="1:10" ht="12.75">
      <c r="A344" s="446" t="s">
        <v>698</v>
      </c>
      <c r="B344" s="465" t="s">
        <v>406</v>
      </c>
      <c r="C344" s="441">
        <v>88264</v>
      </c>
      <c r="D344" s="447" t="s">
        <v>747</v>
      </c>
      <c r="E344" s="432" t="s">
        <v>740</v>
      </c>
      <c r="F344" s="111">
        <v>6.9000000000000006E-2</v>
      </c>
      <c r="G344" s="479">
        <v>32.99</v>
      </c>
      <c r="H344" s="55"/>
      <c r="I344" s="56">
        <f>F344*G344</f>
        <v>2.2763100000000005</v>
      </c>
      <c r="J344" s="57">
        <f>F344*G344</f>
        <v>2.2763100000000005</v>
      </c>
    </row>
    <row r="345" spans="1:10" ht="12.75">
      <c r="A345" s="449"/>
      <c r="B345" s="469"/>
      <c r="C345" s="450"/>
      <c r="D345" s="451" t="s">
        <v>696</v>
      </c>
      <c r="E345" s="470"/>
      <c r="F345" s="61"/>
      <c r="G345" s="58"/>
      <c r="H345" s="59">
        <f>SUM(H342:H344)</f>
        <v>1.82</v>
      </c>
      <c r="I345" s="59">
        <f>SUM(I342:I344)</f>
        <v>2.5459100000000006</v>
      </c>
      <c r="J345" s="60">
        <f>SUM(J342:J344)</f>
        <v>4.3659100000000004</v>
      </c>
    </row>
    <row r="346" spans="1:10" ht="12.75">
      <c r="A346" s="469" t="s">
        <v>1052</v>
      </c>
      <c r="B346" s="1027" t="s">
        <v>1157</v>
      </c>
      <c r="C346" s="1028"/>
      <c r="D346" s="1028"/>
      <c r="E346" s="457"/>
      <c r="F346" s="457"/>
      <c r="G346" s="457"/>
      <c r="H346" s="457"/>
      <c r="I346" s="457"/>
      <c r="J346" s="458"/>
    </row>
    <row r="347" spans="1:10" ht="12.75">
      <c r="A347" s="401"/>
      <c r="B347" s="401"/>
      <c r="C347" s="401"/>
      <c r="D347" s="401"/>
      <c r="E347" s="63"/>
      <c r="F347" s="63"/>
      <c r="G347" s="63"/>
      <c r="H347" s="63"/>
      <c r="I347" s="63"/>
      <c r="J347" s="63"/>
    </row>
    <row r="348" spans="1:10" ht="12.75">
      <c r="A348" s="401"/>
      <c r="B348" s="401"/>
      <c r="C348" s="401"/>
      <c r="D348" s="401"/>
      <c r="E348" s="63"/>
      <c r="F348" s="63"/>
      <c r="G348" s="63"/>
      <c r="H348" s="63"/>
      <c r="I348" s="63"/>
      <c r="J348" s="63"/>
    </row>
    <row r="349" spans="1:10" ht="12.75">
      <c r="A349" s="463" t="s">
        <v>697</v>
      </c>
      <c r="B349" s="463"/>
      <c r="C349" s="438" t="s">
        <v>1356</v>
      </c>
      <c r="D349" s="439" t="str">
        <f>D350</f>
        <v>Abraçadeira galvanizada tipo gota para tubulação pvc 50mm</v>
      </c>
      <c r="E349" s="376" t="s">
        <v>411</v>
      </c>
      <c r="F349" s="440" t="s">
        <v>692</v>
      </c>
      <c r="G349" s="376" t="s">
        <v>693</v>
      </c>
      <c r="H349" s="440" t="s">
        <v>694</v>
      </c>
      <c r="I349" s="440" t="s">
        <v>695</v>
      </c>
      <c r="J349" s="440" t="s">
        <v>696</v>
      </c>
    </row>
    <row r="350" spans="1:10" ht="12.75">
      <c r="A350" s="446" t="s">
        <v>831</v>
      </c>
      <c r="B350" s="465" t="s">
        <v>409</v>
      </c>
      <c r="C350" s="478" t="s">
        <v>1275</v>
      </c>
      <c r="D350" s="471" t="s">
        <v>904</v>
      </c>
      <c r="E350" s="55" t="s">
        <v>737</v>
      </c>
      <c r="F350" s="51">
        <v>1</v>
      </c>
      <c r="G350" s="56">
        <v>2.5499999999999998</v>
      </c>
      <c r="H350" s="52">
        <f>F350*G350</f>
        <v>2.5499999999999998</v>
      </c>
      <c r="I350" s="53"/>
      <c r="J350" s="54">
        <f>F350*G350</f>
        <v>2.5499999999999998</v>
      </c>
    </row>
    <row r="351" spans="1:10" ht="12.75">
      <c r="A351" s="446" t="s">
        <v>698</v>
      </c>
      <c r="B351" s="465" t="s">
        <v>406</v>
      </c>
      <c r="C351" s="441">
        <v>88247</v>
      </c>
      <c r="D351" s="447" t="s">
        <v>746</v>
      </c>
      <c r="E351" s="432" t="s">
        <v>740</v>
      </c>
      <c r="F351" s="111" t="s">
        <v>419</v>
      </c>
      <c r="G351" s="407">
        <v>26.96</v>
      </c>
      <c r="H351" s="55"/>
      <c r="I351" s="56">
        <f>F351*G351</f>
        <v>0.32352000000000003</v>
      </c>
      <c r="J351" s="57">
        <f>F351*G351</f>
        <v>0.32352000000000003</v>
      </c>
    </row>
    <row r="352" spans="1:10" ht="12.75">
      <c r="A352" s="446" t="s">
        <v>698</v>
      </c>
      <c r="B352" s="465" t="s">
        <v>406</v>
      </c>
      <c r="C352" s="441">
        <v>88264</v>
      </c>
      <c r="D352" s="447" t="s">
        <v>747</v>
      </c>
      <c r="E352" s="432" t="s">
        <v>740</v>
      </c>
      <c r="F352" s="111" t="s">
        <v>449</v>
      </c>
      <c r="G352" s="479">
        <v>32.99</v>
      </c>
      <c r="H352" s="55"/>
      <c r="I352" s="56">
        <f>F352*G352</f>
        <v>2.7711600000000005</v>
      </c>
      <c r="J352" s="57">
        <f>F352*G352</f>
        <v>2.7711600000000005</v>
      </c>
    </row>
    <row r="353" spans="1:10" ht="12.75">
      <c r="A353" s="449"/>
      <c r="B353" s="469"/>
      <c r="C353" s="450"/>
      <c r="D353" s="451" t="s">
        <v>696</v>
      </c>
      <c r="E353" s="470"/>
      <c r="F353" s="61"/>
      <c r="G353" s="58"/>
      <c r="H353" s="59">
        <f>SUM(H350:H352)</f>
        <v>2.5499999999999998</v>
      </c>
      <c r="I353" s="59">
        <f>SUM(I350:I352)</f>
        <v>3.0946800000000003</v>
      </c>
      <c r="J353" s="60">
        <f>SUM(J350:J352)</f>
        <v>5.644680000000001</v>
      </c>
    </row>
    <row r="354" spans="1:10" ht="12.75">
      <c r="A354" s="469" t="s">
        <v>1052</v>
      </c>
      <c r="B354" s="1027" t="s">
        <v>1158</v>
      </c>
      <c r="C354" s="1028"/>
      <c r="D354" s="1028"/>
      <c r="E354" s="457"/>
      <c r="F354" s="457"/>
      <c r="G354" s="457"/>
      <c r="H354" s="457"/>
      <c r="I354" s="457"/>
      <c r="J354" s="458"/>
    </row>
    <row r="355" spans="1:10" ht="12.75">
      <c r="A355" s="401"/>
      <c r="B355" s="401"/>
      <c r="C355" s="401"/>
      <c r="D355" s="401"/>
      <c r="E355" s="63"/>
      <c r="F355" s="63"/>
      <c r="G355" s="63"/>
      <c r="H355" s="63"/>
      <c r="I355" s="63"/>
      <c r="J355" s="63"/>
    </row>
    <row r="356" spans="1:10" ht="12.75">
      <c r="A356" s="401"/>
      <c r="B356" s="401"/>
      <c r="C356" s="401"/>
      <c r="D356" s="401"/>
      <c r="E356" s="63"/>
      <c r="F356" s="63"/>
      <c r="G356" s="63"/>
      <c r="H356" s="63"/>
      <c r="I356" s="63"/>
      <c r="J356" s="63"/>
    </row>
    <row r="357" spans="1:10" ht="12.75">
      <c r="A357" s="401"/>
      <c r="B357" s="401"/>
      <c r="C357" s="401"/>
      <c r="D357" s="401"/>
      <c r="E357" s="63"/>
      <c r="F357" s="63"/>
      <c r="G357" s="63"/>
      <c r="H357" s="63"/>
      <c r="I357" s="63"/>
      <c r="J357" s="63"/>
    </row>
    <row r="358" spans="1:10" ht="12.75">
      <c r="A358" s="463" t="s">
        <v>697</v>
      </c>
      <c r="B358" s="463"/>
      <c r="C358" s="438" t="s">
        <v>1357</v>
      </c>
      <c r="D358" s="439" t="str">
        <f>D359</f>
        <v>Abraçadeira galvanizada tipo gota para tubulação pvc 100mm</v>
      </c>
      <c r="E358" s="376" t="s">
        <v>411</v>
      </c>
      <c r="F358" s="440" t="s">
        <v>692</v>
      </c>
      <c r="G358" s="376" t="s">
        <v>693</v>
      </c>
      <c r="H358" s="440" t="s">
        <v>694</v>
      </c>
      <c r="I358" s="440" t="s">
        <v>695</v>
      </c>
      <c r="J358" s="440" t="s">
        <v>696</v>
      </c>
    </row>
    <row r="359" spans="1:10" ht="12.75">
      <c r="A359" s="446" t="s">
        <v>831</v>
      </c>
      <c r="B359" s="465" t="s">
        <v>409</v>
      </c>
      <c r="C359" s="478" t="s">
        <v>1273</v>
      </c>
      <c r="D359" s="471" t="s">
        <v>1159</v>
      </c>
      <c r="E359" s="55" t="s">
        <v>737</v>
      </c>
      <c r="F359" s="51">
        <v>1</v>
      </c>
      <c r="G359" s="56">
        <v>6.55</v>
      </c>
      <c r="H359" s="52">
        <f>F359*G359</f>
        <v>6.55</v>
      </c>
      <c r="I359" s="53"/>
      <c r="J359" s="54">
        <f>F359*G359</f>
        <v>6.55</v>
      </c>
    </row>
    <row r="360" spans="1:10" ht="12.75">
      <c r="A360" s="446" t="s">
        <v>698</v>
      </c>
      <c r="B360" s="465" t="s">
        <v>406</v>
      </c>
      <c r="C360" s="441">
        <v>88247</v>
      </c>
      <c r="D360" s="447" t="s">
        <v>746</v>
      </c>
      <c r="E360" s="432" t="s">
        <v>740</v>
      </c>
      <c r="F360" s="111" t="s">
        <v>419</v>
      </c>
      <c r="G360" s="407">
        <v>26.96</v>
      </c>
      <c r="H360" s="55"/>
      <c r="I360" s="56">
        <f>F360*G360</f>
        <v>0.32352000000000003</v>
      </c>
      <c r="J360" s="57">
        <f>F360*G360</f>
        <v>0.32352000000000003</v>
      </c>
    </row>
    <row r="361" spans="1:10" ht="12.75">
      <c r="A361" s="446" t="s">
        <v>698</v>
      </c>
      <c r="B361" s="465" t="s">
        <v>406</v>
      </c>
      <c r="C361" s="441">
        <v>88264</v>
      </c>
      <c r="D361" s="447" t="s">
        <v>747</v>
      </c>
      <c r="E361" s="432" t="s">
        <v>740</v>
      </c>
      <c r="F361" s="111" t="s">
        <v>449</v>
      </c>
      <c r="G361" s="479">
        <v>32.99</v>
      </c>
      <c r="H361" s="55"/>
      <c r="I361" s="56">
        <f>F361*G361</f>
        <v>2.7711600000000005</v>
      </c>
      <c r="J361" s="57">
        <f>F361*G361</f>
        <v>2.7711600000000005</v>
      </c>
    </row>
    <row r="362" spans="1:10" ht="12.75">
      <c r="A362" s="449"/>
      <c r="B362" s="469"/>
      <c r="C362" s="450"/>
      <c r="D362" s="451" t="s">
        <v>696</v>
      </c>
      <c r="E362" s="470"/>
      <c r="F362" s="61"/>
      <c r="G362" s="58"/>
      <c r="H362" s="59">
        <f>SUM(H359:H361)</f>
        <v>6.55</v>
      </c>
      <c r="I362" s="59">
        <f>SUM(I359:I361)</f>
        <v>3.0946800000000003</v>
      </c>
      <c r="J362" s="60">
        <f>SUM(J359:J361)</f>
        <v>9.644680000000001</v>
      </c>
    </row>
    <row r="363" spans="1:10" ht="12.75">
      <c r="A363" s="469" t="s">
        <v>1052</v>
      </c>
      <c r="B363" s="1027" t="s">
        <v>1158</v>
      </c>
      <c r="C363" s="1028"/>
      <c r="D363" s="1028"/>
      <c r="E363" s="457"/>
      <c r="F363" s="457"/>
      <c r="G363" s="457"/>
      <c r="H363" s="457"/>
      <c r="I363" s="457"/>
      <c r="J363" s="458"/>
    </row>
    <row r="364" spans="1:10" ht="12.75">
      <c r="A364" s="401"/>
      <c r="B364" s="401"/>
      <c r="C364" s="401"/>
      <c r="D364" s="401"/>
      <c r="E364" s="63"/>
      <c r="F364" s="63"/>
      <c r="G364" s="63"/>
      <c r="H364" s="63"/>
      <c r="I364" s="63"/>
      <c r="J364" s="63"/>
    </row>
    <row r="365" spans="1:10" ht="38.25">
      <c r="A365" s="371" t="s">
        <v>736</v>
      </c>
      <c r="B365" s="465"/>
      <c r="C365" s="373" t="s">
        <v>1358</v>
      </c>
      <c r="D365" s="439" t="s">
        <v>1554</v>
      </c>
      <c r="E365" s="376" t="s">
        <v>411</v>
      </c>
      <c r="F365" s="440" t="s">
        <v>692</v>
      </c>
      <c r="G365" s="376" t="s">
        <v>693</v>
      </c>
      <c r="H365" s="440" t="s">
        <v>694</v>
      </c>
      <c r="I365" s="440" t="s">
        <v>695</v>
      </c>
      <c r="J365" s="440" t="s">
        <v>696</v>
      </c>
    </row>
    <row r="366" spans="1:10" ht="25.5">
      <c r="A366" s="377" t="s">
        <v>699</v>
      </c>
      <c r="B366" s="465" t="s">
        <v>409</v>
      </c>
      <c r="C366" s="387" t="s">
        <v>1469</v>
      </c>
      <c r="D366" s="480" t="s">
        <v>1554</v>
      </c>
      <c r="E366" s="411" t="s">
        <v>737</v>
      </c>
      <c r="F366" s="586">
        <v>1</v>
      </c>
      <c r="G366" s="395">
        <v>8840.4</v>
      </c>
      <c r="H366" s="395">
        <f>F366*G366</f>
        <v>8840.4</v>
      </c>
      <c r="I366" s="395"/>
      <c r="J366" s="588">
        <f>F366*G366</f>
        <v>8840.4</v>
      </c>
    </row>
    <row r="367" spans="1:10" ht="12.75">
      <c r="A367" s="377" t="s">
        <v>698</v>
      </c>
      <c r="B367" s="378" t="s">
        <v>406</v>
      </c>
      <c r="C367" s="392">
        <v>88247</v>
      </c>
      <c r="D367" s="576" t="s">
        <v>746</v>
      </c>
      <c r="E367" s="589" t="s">
        <v>740</v>
      </c>
      <c r="F367" s="586">
        <v>3.2</v>
      </c>
      <c r="G367" s="407">
        <v>26.96</v>
      </c>
      <c r="H367" s="395"/>
      <c r="I367" s="395">
        <f>F367*G367</f>
        <v>86.272000000000006</v>
      </c>
      <c r="J367" s="588">
        <f>F367*G367</f>
        <v>86.272000000000006</v>
      </c>
    </row>
    <row r="368" spans="1:10" ht="12.75">
      <c r="A368" s="377" t="s">
        <v>698</v>
      </c>
      <c r="B368" s="378" t="s">
        <v>406</v>
      </c>
      <c r="C368" s="392">
        <v>88264</v>
      </c>
      <c r="D368" s="576" t="s">
        <v>747</v>
      </c>
      <c r="E368" s="589" t="s">
        <v>740</v>
      </c>
      <c r="F368" s="586">
        <v>3.2</v>
      </c>
      <c r="G368" s="479">
        <v>32.99</v>
      </c>
      <c r="H368" s="395"/>
      <c r="I368" s="395">
        <f>F368*G368-0.01</f>
        <v>105.55800000000001</v>
      </c>
      <c r="J368" s="397">
        <f>F368*G368</f>
        <v>105.56800000000001</v>
      </c>
    </row>
    <row r="369" spans="1:10" ht="12.75">
      <c r="A369" s="590"/>
      <c r="B369" s="591"/>
      <c r="C369" s="592"/>
      <c r="D369" s="405" t="s">
        <v>696</v>
      </c>
      <c r="E369" s="376"/>
      <c r="F369" s="593"/>
      <c r="G369" s="594"/>
      <c r="H369" s="59">
        <f>SUM(H366:H368)</f>
        <v>8840.4</v>
      </c>
      <c r="I369" s="59">
        <f>SUM(I366:I368)</f>
        <v>191.83</v>
      </c>
      <c r="J369" s="386">
        <f>H369+I369</f>
        <v>9032.23</v>
      </c>
    </row>
    <row r="370" spans="1:10" ht="12.75">
      <c r="A370" s="384" t="s">
        <v>1052</v>
      </c>
      <c r="B370" s="1029" t="s">
        <v>1210</v>
      </c>
      <c r="C370" s="1030"/>
      <c r="D370" s="1030"/>
      <c r="E370" s="409"/>
      <c r="F370" s="409"/>
      <c r="G370" s="409"/>
      <c r="H370" s="409"/>
      <c r="I370" s="409"/>
      <c r="J370" s="410"/>
    </row>
    <row r="371" spans="1:10" ht="12.75">
      <c r="A371" s="401"/>
      <c r="B371" s="401"/>
      <c r="C371" s="401"/>
      <c r="D371" s="401"/>
      <c r="E371" s="63"/>
      <c r="F371" s="63"/>
      <c r="G371" s="63"/>
      <c r="H371" s="63"/>
      <c r="I371" s="63"/>
      <c r="J371" s="63"/>
    </row>
    <row r="372" spans="1:10" ht="12.75">
      <c r="A372" s="371" t="s">
        <v>736</v>
      </c>
      <c r="B372" s="372"/>
      <c r="C372" s="373" t="s">
        <v>1359</v>
      </c>
      <c r="D372" s="374" t="s">
        <v>748</v>
      </c>
      <c r="E372" s="376" t="s">
        <v>411</v>
      </c>
      <c r="F372" s="440" t="s">
        <v>692</v>
      </c>
      <c r="G372" s="376" t="s">
        <v>693</v>
      </c>
      <c r="H372" s="440" t="s">
        <v>694</v>
      </c>
      <c r="I372" s="440" t="s">
        <v>695</v>
      </c>
      <c r="J372" s="440" t="s">
        <v>696</v>
      </c>
    </row>
    <row r="373" spans="1:10" ht="12.75">
      <c r="A373" s="599" t="s">
        <v>819</v>
      </c>
      <c r="B373" s="465" t="s">
        <v>409</v>
      </c>
      <c r="C373" s="387">
        <v>960</v>
      </c>
      <c r="D373" s="585" t="s">
        <v>2529</v>
      </c>
      <c r="E373" s="411" t="s">
        <v>737</v>
      </c>
      <c r="F373" s="586">
        <v>1</v>
      </c>
      <c r="G373" s="600">
        <v>187.99</v>
      </c>
      <c r="H373" s="395">
        <f>F373*G373</f>
        <v>187.99</v>
      </c>
      <c r="I373" s="395"/>
      <c r="J373" s="588">
        <f>F373*G373</f>
        <v>187.99</v>
      </c>
    </row>
    <row r="374" spans="1:10" ht="12.75">
      <c r="A374" s="377" t="s">
        <v>698</v>
      </c>
      <c r="B374" s="378" t="s">
        <v>406</v>
      </c>
      <c r="C374" s="392">
        <v>88247</v>
      </c>
      <c r="D374" s="576" t="s">
        <v>746</v>
      </c>
      <c r="E374" s="589" t="s">
        <v>740</v>
      </c>
      <c r="F374" s="64">
        <v>1</v>
      </c>
      <c r="G374" s="407">
        <v>26.96</v>
      </c>
      <c r="H374" s="395"/>
      <c r="I374" s="395">
        <f>F374*G374</f>
        <v>26.96</v>
      </c>
      <c r="J374" s="588">
        <f>F374*G374</f>
        <v>26.96</v>
      </c>
    </row>
    <row r="375" spans="1:10" ht="12.75">
      <c r="A375" s="377" t="s">
        <v>698</v>
      </c>
      <c r="B375" s="378" t="s">
        <v>406</v>
      </c>
      <c r="C375" s="392">
        <v>88264</v>
      </c>
      <c r="D375" s="576" t="s">
        <v>747</v>
      </c>
      <c r="E375" s="589" t="s">
        <v>740</v>
      </c>
      <c r="F375" s="64">
        <f>F374</f>
        <v>1</v>
      </c>
      <c r="G375" s="479">
        <v>32.99</v>
      </c>
      <c r="H375" s="395"/>
      <c r="I375" s="395">
        <f>F375*G375-0.01</f>
        <v>32.980000000000004</v>
      </c>
      <c r="J375" s="397">
        <f>F375*G375</f>
        <v>32.99</v>
      </c>
    </row>
    <row r="376" spans="1:10" ht="12.75">
      <c r="A376" s="590"/>
      <c r="B376" s="591"/>
      <c r="C376" s="592"/>
      <c r="D376" s="405" t="s">
        <v>696</v>
      </c>
      <c r="E376" s="376"/>
      <c r="F376" s="453"/>
      <c r="G376" s="594"/>
      <c r="H376" s="59">
        <f>SUM(H373:H375)</f>
        <v>187.99</v>
      </c>
      <c r="I376" s="59">
        <f>SUM(I373:I375)</f>
        <v>59.940000000000005</v>
      </c>
      <c r="J376" s="386">
        <f>H376+I376</f>
        <v>247.93</v>
      </c>
    </row>
    <row r="377" spans="1:10" ht="12.75">
      <c r="A377" s="384" t="s">
        <v>1052</v>
      </c>
      <c r="B377" s="1029" t="s">
        <v>1090</v>
      </c>
      <c r="C377" s="1030"/>
      <c r="D377" s="1030"/>
      <c r="E377" s="409"/>
      <c r="F377" s="409"/>
      <c r="G377" s="409"/>
      <c r="H377" s="409"/>
      <c r="I377" s="409"/>
      <c r="J377" s="410"/>
    </row>
    <row r="378" spans="1:10" ht="12.75">
      <c r="A378" s="401"/>
      <c r="B378" s="401"/>
      <c r="C378" s="401"/>
      <c r="D378" s="401"/>
      <c r="E378" s="63"/>
      <c r="F378" s="63"/>
      <c r="G378" s="63"/>
      <c r="H378" s="63"/>
      <c r="I378" s="63"/>
      <c r="J378" s="63"/>
    </row>
    <row r="379" spans="1:10" ht="25.5">
      <c r="A379" s="371" t="s">
        <v>736</v>
      </c>
      <c r="B379" s="372"/>
      <c r="C379" s="373" t="s">
        <v>1068</v>
      </c>
      <c r="D379" s="439" t="s">
        <v>1555</v>
      </c>
      <c r="E379" s="376" t="s">
        <v>411</v>
      </c>
      <c r="F379" s="440" t="s">
        <v>692</v>
      </c>
      <c r="G379" s="376" t="s">
        <v>693</v>
      </c>
      <c r="H379" s="440" t="s">
        <v>694</v>
      </c>
      <c r="I379" s="440" t="s">
        <v>695</v>
      </c>
      <c r="J379" s="440" t="s">
        <v>696</v>
      </c>
    </row>
    <row r="380" spans="1:10" ht="25.5">
      <c r="A380" s="599" t="s">
        <v>699</v>
      </c>
      <c r="B380" s="465" t="s">
        <v>409</v>
      </c>
      <c r="C380" s="47" t="s">
        <v>1579</v>
      </c>
      <c r="D380" s="480" t="s">
        <v>1555</v>
      </c>
      <c r="E380" s="411" t="s">
        <v>737</v>
      </c>
      <c r="F380" s="586">
        <v>1</v>
      </c>
      <c r="G380" s="600">
        <v>237.59</v>
      </c>
      <c r="H380" s="395">
        <f>F380*G380</f>
        <v>237.59</v>
      </c>
      <c r="I380" s="395"/>
      <c r="J380" s="588">
        <f>F380*G380</f>
        <v>237.59</v>
      </c>
    </row>
    <row r="381" spans="1:10" ht="12.75">
      <c r="A381" s="599" t="s">
        <v>699</v>
      </c>
      <c r="B381" s="465" t="s">
        <v>409</v>
      </c>
      <c r="C381" s="47" t="s">
        <v>1580</v>
      </c>
      <c r="D381" s="481" t="s">
        <v>1558</v>
      </c>
      <c r="E381" s="411" t="s">
        <v>737</v>
      </c>
      <c r="F381" s="586">
        <v>1</v>
      </c>
      <c r="G381" s="503">
        <v>230.4</v>
      </c>
      <c r="H381" s="395">
        <f>F381*G381</f>
        <v>230.4</v>
      </c>
      <c r="I381" s="56"/>
      <c r="J381" s="54"/>
    </row>
    <row r="382" spans="1:10" ht="12.75">
      <c r="A382" s="377" t="s">
        <v>698</v>
      </c>
      <c r="B382" s="378" t="s">
        <v>406</v>
      </c>
      <c r="C382" s="392">
        <v>88247</v>
      </c>
      <c r="D382" s="576" t="s">
        <v>746</v>
      </c>
      <c r="E382" s="589" t="s">
        <v>740</v>
      </c>
      <c r="F382" s="586">
        <v>1.5</v>
      </c>
      <c r="G382" s="407">
        <v>26.96</v>
      </c>
      <c r="H382" s="395"/>
      <c r="I382" s="395">
        <f>F382*G382</f>
        <v>40.44</v>
      </c>
      <c r="J382" s="588">
        <f>F382*G382</f>
        <v>40.44</v>
      </c>
    </row>
    <row r="383" spans="1:10" ht="12.75">
      <c r="A383" s="377" t="s">
        <v>698</v>
      </c>
      <c r="B383" s="378" t="s">
        <v>406</v>
      </c>
      <c r="C383" s="392">
        <v>88264</v>
      </c>
      <c r="D383" s="576" t="s">
        <v>747</v>
      </c>
      <c r="E383" s="589" t="s">
        <v>740</v>
      </c>
      <c r="F383" s="586">
        <v>1.5</v>
      </c>
      <c r="G383" s="479">
        <v>32.99</v>
      </c>
      <c r="H383" s="395"/>
      <c r="I383" s="395">
        <f>F383*G383-0.01</f>
        <v>49.475000000000001</v>
      </c>
      <c r="J383" s="397">
        <f>F383*G383</f>
        <v>49.484999999999999</v>
      </c>
    </row>
    <row r="384" spans="1:10" ht="12.75">
      <c r="A384" s="590"/>
      <c r="B384" s="435"/>
      <c r="C384" s="576"/>
      <c r="D384" s="405" t="s">
        <v>696</v>
      </c>
      <c r="E384" s="376"/>
      <c r="F384" s="593"/>
      <c r="G384" s="594"/>
      <c r="H384" s="59">
        <f>SUM(H380:H383)</f>
        <v>467.99</v>
      </c>
      <c r="I384" s="59">
        <f>SUM(I380:I383)</f>
        <v>89.914999999999992</v>
      </c>
      <c r="J384" s="386">
        <f>H384+I384</f>
        <v>557.90499999999997</v>
      </c>
    </row>
    <row r="385" spans="1:10" ht="12.75">
      <c r="A385" s="384" t="s">
        <v>1052</v>
      </c>
      <c r="B385" s="1029" t="s">
        <v>1091</v>
      </c>
      <c r="C385" s="1030"/>
      <c r="D385" s="1030"/>
      <c r="E385" s="409"/>
      <c r="F385" s="409"/>
      <c r="G385" s="409"/>
      <c r="H385" s="409"/>
      <c r="I385" s="409"/>
      <c r="J385" s="410"/>
    </row>
    <row r="386" spans="1:10" ht="12.75">
      <c r="A386" s="524"/>
      <c r="B386" s="524"/>
      <c r="C386" s="524"/>
      <c r="D386" s="595"/>
      <c r="E386" s="601"/>
      <c r="F386" s="601"/>
      <c r="G386" s="601"/>
      <c r="H386" s="597"/>
      <c r="I386" s="597"/>
      <c r="J386" s="561"/>
    </row>
    <row r="387" spans="1:10" ht="12.75">
      <c r="A387" s="371" t="s">
        <v>736</v>
      </c>
      <c r="B387" s="372"/>
      <c r="C387" s="373" t="s">
        <v>1360</v>
      </c>
      <c r="D387" s="439" t="s">
        <v>1556</v>
      </c>
      <c r="E387" s="376" t="s">
        <v>411</v>
      </c>
      <c r="F387" s="440" t="s">
        <v>692</v>
      </c>
      <c r="G387" s="376" t="s">
        <v>693</v>
      </c>
      <c r="H387" s="440" t="s">
        <v>694</v>
      </c>
      <c r="I387" s="440" t="s">
        <v>695</v>
      </c>
      <c r="J387" s="440" t="s">
        <v>696</v>
      </c>
    </row>
    <row r="388" spans="1:10" ht="12.75">
      <c r="A388" s="599" t="s">
        <v>699</v>
      </c>
      <c r="B388" s="465" t="s">
        <v>409</v>
      </c>
      <c r="C388" s="47" t="s">
        <v>1581</v>
      </c>
      <c r="D388" s="480" t="s">
        <v>1556</v>
      </c>
      <c r="E388" s="411" t="s">
        <v>737</v>
      </c>
      <c r="F388" s="586">
        <v>1</v>
      </c>
      <c r="G388" s="600">
        <v>467.4</v>
      </c>
      <c r="H388" s="395">
        <f>F388*G388</f>
        <v>467.4</v>
      </c>
      <c r="I388" s="395"/>
      <c r="J388" s="588">
        <f>F388*G388</f>
        <v>467.4</v>
      </c>
    </row>
    <row r="389" spans="1:10" ht="12.75">
      <c r="A389" s="377" t="s">
        <v>698</v>
      </c>
      <c r="B389" s="378" t="s">
        <v>406</v>
      </c>
      <c r="C389" s="392">
        <v>88247</v>
      </c>
      <c r="D389" s="576" t="s">
        <v>746</v>
      </c>
      <c r="E389" s="589" t="s">
        <v>740</v>
      </c>
      <c r="F389" s="586">
        <v>1.5</v>
      </c>
      <c r="G389" s="407">
        <v>26.96</v>
      </c>
      <c r="H389" s="395"/>
      <c r="I389" s="395">
        <f>F389*G389</f>
        <v>40.44</v>
      </c>
      <c r="J389" s="588">
        <f>F389*G389</f>
        <v>40.44</v>
      </c>
    </row>
    <row r="390" spans="1:10" ht="12.75">
      <c r="A390" s="377" t="s">
        <v>698</v>
      </c>
      <c r="B390" s="378" t="s">
        <v>406</v>
      </c>
      <c r="C390" s="392">
        <v>88264</v>
      </c>
      <c r="D390" s="576" t="s">
        <v>747</v>
      </c>
      <c r="E390" s="589" t="s">
        <v>740</v>
      </c>
      <c r="F390" s="586">
        <v>1.5</v>
      </c>
      <c r="G390" s="479">
        <v>32.99</v>
      </c>
      <c r="H390" s="395"/>
      <c r="I390" s="395">
        <f>F390*G390-0.01</f>
        <v>49.475000000000001</v>
      </c>
      <c r="J390" s="397">
        <f>F390*G390</f>
        <v>49.484999999999999</v>
      </c>
    </row>
    <row r="391" spans="1:10" ht="12.75">
      <c r="A391" s="590"/>
      <c r="B391" s="591"/>
      <c r="C391" s="592"/>
      <c r="D391" s="405" t="s">
        <v>696</v>
      </c>
      <c r="E391" s="376"/>
      <c r="F391" s="593"/>
      <c r="G391" s="594"/>
      <c r="H391" s="59">
        <f>SUM(H388:H390)</f>
        <v>467.4</v>
      </c>
      <c r="I391" s="59">
        <f>SUM(I388:I390)</f>
        <v>89.914999999999992</v>
      </c>
      <c r="J391" s="386">
        <f>H391+I391</f>
        <v>557.31499999999994</v>
      </c>
    </row>
    <row r="392" spans="1:10" ht="12.75">
      <c r="A392" s="384" t="s">
        <v>1052</v>
      </c>
      <c r="B392" s="1029" t="s">
        <v>1094</v>
      </c>
      <c r="C392" s="1030"/>
      <c r="D392" s="1030"/>
      <c r="E392" s="409"/>
      <c r="F392" s="409"/>
      <c r="G392" s="409"/>
      <c r="H392" s="409"/>
      <c r="I392" s="409"/>
      <c r="J392" s="410"/>
    </row>
    <row r="393" spans="1:10" ht="12.75">
      <c r="A393" s="401"/>
      <c r="B393" s="401"/>
      <c r="C393" s="401"/>
      <c r="D393" s="401"/>
      <c r="E393" s="63"/>
      <c r="F393" s="63"/>
      <c r="G393" s="63"/>
      <c r="H393" s="63"/>
      <c r="I393" s="63"/>
      <c r="J393" s="63"/>
    </row>
    <row r="394" spans="1:10" ht="12.75">
      <c r="A394" s="372" t="s">
        <v>697</v>
      </c>
      <c r="B394" s="372"/>
      <c r="C394" s="373" t="s">
        <v>1372</v>
      </c>
      <c r="D394" s="464" t="s">
        <v>894</v>
      </c>
      <c r="E394" s="376" t="s">
        <v>411</v>
      </c>
      <c r="F394" s="440" t="s">
        <v>692</v>
      </c>
      <c r="G394" s="376" t="s">
        <v>693</v>
      </c>
      <c r="H394" s="440" t="s">
        <v>694</v>
      </c>
      <c r="I394" s="440" t="s">
        <v>695</v>
      </c>
      <c r="J394" s="440" t="s">
        <v>696</v>
      </c>
    </row>
    <row r="395" spans="1:10" ht="12.75">
      <c r="A395" s="377" t="s">
        <v>698</v>
      </c>
      <c r="B395" s="378" t="s">
        <v>409</v>
      </c>
      <c r="C395" s="392">
        <v>6005</v>
      </c>
      <c r="D395" s="401" t="s">
        <v>1373</v>
      </c>
      <c r="E395" s="411" t="s">
        <v>737</v>
      </c>
      <c r="F395" s="602">
        <v>1</v>
      </c>
      <c r="G395" s="395">
        <v>56</v>
      </c>
      <c r="H395" s="603">
        <f>F395*G395</f>
        <v>56</v>
      </c>
      <c r="I395" s="604"/>
      <c r="J395" s="588">
        <f>SUM(H395:I395)</f>
        <v>56</v>
      </c>
    </row>
    <row r="396" spans="1:10" ht="12.75">
      <c r="A396" s="377" t="s">
        <v>698</v>
      </c>
      <c r="B396" s="378" t="s">
        <v>409</v>
      </c>
      <c r="C396" s="392">
        <v>3148</v>
      </c>
      <c r="D396" s="392" t="s">
        <v>1374</v>
      </c>
      <c r="E396" s="411" t="s">
        <v>737</v>
      </c>
      <c r="F396" s="602">
        <v>1.2999999999999999E-2</v>
      </c>
      <c r="G396" s="514">
        <v>11.8</v>
      </c>
      <c r="H396" s="603">
        <f>F396*G396</f>
        <v>0.15340000000000001</v>
      </c>
      <c r="I396" s="604"/>
      <c r="J396" s="588">
        <f t="shared" ref="J396:J398" si="40">SUM(H396:I396)</f>
        <v>0.15340000000000001</v>
      </c>
    </row>
    <row r="397" spans="1:10" ht="12.75">
      <c r="A397" s="377" t="s">
        <v>698</v>
      </c>
      <c r="B397" s="378" t="s">
        <v>406</v>
      </c>
      <c r="C397" s="392">
        <v>88248</v>
      </c>
      <c r="D397" s="576" t="s">
        <v>739</v>
      </c>
      <c r="E397" s="589" t="s">
        <v>740</v>
      </c>
      <c r="F397" s="602" t="s">
        <v>440</v>
      </c>
      <c r="G397" s="605">
        <v>26.14</v>
      </c>
      <c r="H397" s="603"/>
      <c r="I397" s="395">
        <f>F397*G397</f>
        <v>1.6206800000000001</v>
      </c>
      <c r="J397" s="588">
        <f t="shared" si="40"/>
        <v>1.6206800000000001</v>
      </c>
    </row>
    <row r="398" spans="1:10" ht="12.75">
      <c r="A398" s="377" t="s">
        <v>698</v>
      </c>
      <c r="B398" s="378" t="s">
        <v>406</v>
      </c>
      <c r="C398" s="392">
        <v>88267</v>
      </c>
      <c r="D398" s="576" t="s">
        <v>741</v>
      </c>
      <c r="E398" s="589" t="s">
        <v>740</v>
      </c>
      <c r="F398" s="606" t="s">
        <v>440</v>
      </c>
      <c r="G398" s="605">
        <v>32.130000000000003</v>
      </c>
      <c r="H398" s="411"/>
      <c r="I398" s="395">
        <f>F398*G398</f>
        <v>1.9920600000000002</v>
      </c>
      <c r="J398" s="588">
        <f t="shared" si="40"/>
        <v>1.9920600000000002</v>
      </c>
    </row>
    <row r="399" spans="1:10" ht="12.75">
      <c r="A399" s="449"/>
      <c r="B399" s="384"/>
      <c r="C399" s="450"/>
      <c r="D399" s="451" t="s">
        <v>696</v>
      </c>
      <c r="E399" s="470"/>
      <c r="F399" s="61"/>
      <c r="G399" s="58" t="s">
        <v>2107</v>
      </c>
      <c r="H399" s="59">
        <f>SUM(H395:H398)</f>
        <v>56.153399999999998</v>
      </c>
      <c r="I399" s="59">
        <f>SUM(I395:I398)</f>
        <v>3.6127400000000005</v>
      </c>
      <c r="J399" s="386">
        <f>SUM(H399:I399)</f>
        <v>59.76614</v>
      </c>
    </row>
    <row r="400" spans="1:10" ht="12.75">
      <c r="A400" s="384" t="s">
        <v>1052</v>
      </c>
      <c r="B400" s="1029" t="s">
        <v>1064</v>
      </c>
      <c r="C400" s="1030"/>
      <c r="D400" s="1030"/>
      <c r="E400" s="409"/>
      <c r="F400" s="409"/>
      <c r="G400" s="409"/>
      <c r="H400" s="409"/>
      <c r="I400" s="409"/>
      <c r="J400" s="410"/>
    </row>
    <row r="401" spans="1:10" ht="12.75">
      <c r="A401" s="401"/>
      <c r="B401" s="401"/>
      <c r="C401" s="401"/>
      <c r="D401" s="401"/>
      <c r="E401" s="63"/>
      <c r="F401" s="63"/>
      <c r="G401" s="63"/>
      <c r="H401" s="63"/>
      <c r="I401" s="63"/>
      <c r="J401" s="63"/>
    </row>
    <row r="402" spans="1:10" ht="12.75">
      <c r="A402" s="371" t="s">
        <v>736</v>
      </c>
      <c r="B402" s="372"/>
      <c r="C402" s="373" t="s">
        <v>1375</v>
      </c>
      <c r="D402" s="464" t="s">
        <v>897</v>
      </c>
      <c r="E402" s="376" t="s">
        <v>411</v>
      </c>
      <c r="F402" s="440" t="s">
        <v>692</v>
      </c>
      <c r="G402" s="376" t="s">
        <v>693</v>
      </c>
      <c r="H402" s="440" t="s">
        <v>694</v>
      </c>
      <c r="I402" s="440" t="s">
        <v>695</v>
      </c>
      <c r="J402" s="440" t="s">
        <v>696</v>
      </c>
    </row>
    <row r="403" spans="1:10" ht="12.75">
      <c r="A403" s="377" t="s">
        <v>698</v>
      </c>
      <c r="B403" s="378" t="s">
        <v>409</v>
      </c>
      <c r="C403" s="398">
        <v>38446</v>
      </c>
      <c r="D403" s="477" t="s">
        <v>1279</v>
      </c>
      <c r="E403" s="411" t="s">
        <v>737</v>
      </c>
      <c r="F403" s="602">
        <v>1</v>
      </c>
      <c r="G403" s="395">
        <v>85</v>
      </c>
      <c r="H403" s="603">
        <f>F403*G403</f>
        <v>85</v>
      </c>
      <c r="I403" s="604"/>
      <c r="J403" s="588">
        <f>SUM(H403:I403)</f>
        <v>85</v>
      </c>
    </row>
    <row r="404" spans="1:10" ht="12.75">
      <c r="A404" s="377" t="s">
        <v>698</v>
      </c>
      <c r="B404" s="378" t="s">
        <v>406</v>
      </c>
      <c r="C404" s="392">
        <v>88248</v>
      </c>
      <c r="D404" s="576" t="s">
        <v>739</v>
      </c>
      <c r="E404" s="589" t="s">
        <v>740</v>
      </c>
      <c r="F404" s="411">
        <v>9.5000000000000001E-2</v>
      </c>
      <c r="G404" s="605">
        <v>26.14</v>
      </c>
      <c r="H404" s="603"/>
      <c r="I404" s="395">
        <f>F404*G404</f>
        <v>2.4833000000000003</v>
      </c>
      <c r="J404" s="588">
        <f t="shared" ref="J404:J405" si="41">SUM(H404:I404)</f>
        <v>2.4833000000000003</v>
      </c>
    </row>
    <row r="405" spans="1:10" ht="12.75">
      <c r="A405" s="377" t="s">
        <v>698</v>
      </c>
      <c r="B405" s="378" t="s">
        <v>406</v>
      </c>
      <c r="C405" s="392">
        <v>88267</v>
      </c>
      <c r="D405" s="576" t="s">
        <v>741</v>
      </c>
      <c r="E405" s="589" t="s">
        <v>740</v>
      </c>
      <c r="F405" s="411">
        <v>9.5000000000000001E-2</v>
      </c>
      <c r="G405" s="605">
        <v>32.130000000000003</v>
      </c>
      <c r="H405" s="411"/>
      <c r="I405" s="395">
        <f>F405*G405</f>
        <v>3.0523500000000001</v>
      </c>
      <c r="J405" s="588">
        <f t="shared" si="41"/>
        <v>3.0523500000000001</v>
      </c>
    </row>
    <row r="406" spans="1:10" ht="12.75">
      <c r="A406" s="449"/>
      <c r="B406" s="384"/>
      <c r="C406" s="450"/>
      <c r="D406" s="451" t="s">
        <v>696</v>
      </c>
      <c r="E406" s="470"/>
      <c r="F406" s="61"/>
      <c r="G406" s="58"/>
      <c r="H406" s="59">
        <f>SUM(H403:H405)</f>
        <v>85</v>
      </c>
      <c r="I406" s="59">
        <f>SUM(I403:I405)</f>
        <v>5.5356500000000004</v>
      </c>
      <c r="J406" s="386">
        <f>SUM(H406:I406)</f>
        <v>90.535650000000004</v>
      </c>
    </row>
    <row r="407" spans="1:10" ht="12.75">
      <c r="A407" s="384" t="s">
        <v>1052</v>
      </c>
      <c r="B407" s="1029" t="s">
        <v>1278</v>
      </c>
      <c r="C407" s="1030"/>
      <c r="D407" s="1030"/>
      <c r="E407" s="409"/>
      <c r="F407" s="409"/>
      <c r="G407" s="409"/>
      <c r="H407" s="409"/>
      <c r="I407" s="409"/>
      <c r="J407" s="410"/>
    </row>
    <row r="408" spans="1:10" ht="12.75">
      <c r="A408" s="401"/>
      <c r="B408" s="401"/>
      <c r="C408" s="401"/>
      <c r="D408" s="401"/>
      <c r="E408" s="63"/>
      <c r="F408" s="63"/>
      <c r="G408" s="63"/>
      <c r="H408" s="63"/>
      <c r="I408" s="63"/>
      <c r="J408" s="63"/>
    </row>
    <row r="409" spans="1:10" ht="25.5">
      <c r="A409" s="371" t="s">
        <v>736</v>
      </c>
      <c r="B409" s="372"/>
      <c r="C409" s="373" t="s">
        <v>1376</v>
      </c>
      <c r="D409" s="464" t="s">
        <v>898</v>
      </c>
      <c r="E409" s="376" t="s">
        <v>405</v>
      </c>
      <c r="F409" s="440" t="s">
        <v>692</v>
      </c>
      <c r="G409" s="376" t="s">
        <v>693</v>
      </c>
      <c r="H409" s="440" t="s">
        <v>694</v>
      </c>
      <c r="I409" s="440" t="s">
        <v>695</v>
      </c>
      <c r="J409" s="440" t="s">
        <v>696</v>
      </c>
    </row>
    <row r="410" spans="1:10" ht="12.75">
      <c r="A410" s="377" t="s">
        <v>819</v>
      </c>
      <c r="B410" s="378" t="s">
        <v>409</v>
      </c>
      <c r="C410" s="398">
        <v>50900</v>
      </c>
      <c r="D410" s="480" t="s">
        <v>1281</v>
      </c>
      <c r="E410" s="411" t="s">
        <v>13</v>
      </c>
      <c r="F410" s="602">
        <v>1.1000000000000001</v>
      </c>
      <c r="G410" s="395">
        <v>21.49</v>
      </c>
      <c r="H410" s="603">
        <f>F410*G410</f>
        <v>23.638999999999999</v>
      </c>
      <c r="I410" s="604"/>
      <c r="J410" s="588">
        <f>SUM(H410:I410)</f>
        <v>23.638999999999999</v>
      </c>
    </row>
    <row r="411" spans="1:10" ht="12.75">
      <c r="A411" s="377" t="s">
        <v>698</v>
      </c>
      <c r="B411" s="378" t="s">
        <v>406</v>
      </c>
      <c r="C411" s="392">
        <v>88248</v>
      </c>
      <c r="D411" s="476" t="s">
        <v>739</v>
      </c>
      <c r="E411" s="589" t="s">
        <v>740</v>
      </c>
      <c r="F411" s="586">
        <v>0.5</v>
      </c>
      <c r="G411" s="605">
        <v>26.14</v>
      </c>
      <c r="H411" s="56"/>
      <c r="I411" s="395">
        <f>F411*G411</f>
        <v>13.07</v>
      </c>
      <c r="J411" s="588">
        <f>SUM(H411:I411)</f>
        <v>13.07</v>
      </c>
    </row>
    <row r="412" spans="1:10" ht="12.75">
      <c r="A412" s="449"/>
      <c r="B412" s="392"/>
      <c r="C412" s="476"/>
      <c r="D412" s="451" t="s">
        <v>696</v>
      </c>
      <c r="E412" s="470"/>
      <c r="F412" s="61"/>
      <c r="G412" s="58"/>
      <c r="H412" s="59">
        <f>SUM(H410:H411)</f>
        <v>23.638999999999999</v>
      </c>
      <c r="I412" s="59">
        <f>SUM(I410:I411)</f>
        <v>13.07</v>
      </c>
      <c r="J412" s="386">
        <f>SUM(H412:I412)</f>
        <v>36.709000000000003</v>
      </c>
    </row>
    <row r="413" spans="1:10" ht="12.75">
      <c r="A413" s="384" t="s">
        <v>1052</v>
      </c>
      <c r="B413" s="1029" t="s">
        <v>1280</v>
      </c>
      <c r="C413" s="1030"/>
      <c r="D413" s="1030"/>
      <c r="E413" s="409"/>
      <c r="F413" s="409"/>
      <c r="G413" s="409"/>
      <c r="H413" s="409"/>
      <c r="I413" s="409"/>
      <c r="J413" s="410"/>
    </row>
    <row r="414" spans="1:10" ht="12.75">
      <c r="A414" s="401"/>
      <c r="B414" s="401"/>
      <c r="C414" s="401"/>
      <c r="D414" s="401"/>
      <c r="E414" s="63"/>
      <c r="F414" s="63"/>
      <c r="G414" s="63"/>
      <c r="H414" s="63"/>
      <c r="I414" s="63"/>
      <c r="J414" s="63"/>
    </row>
    <row r="415" spans="1:10" ht="12.75">
      <c r="A415" s="371" t="s">
        <v>736</v>
      </c>
      <c r="B415" s="372"/>
      <c r="C415" s="373" t="s">
        <v>1270</v>
      </c>
      <c r="D415" s="464" t="s">
        <v>1379</v>
      </c>
      <c r="E415" s="376" t="s">
        <v>411</v>
      </c>
      <c r="F415" s="440" t="s">
        <v>692</v>
      </c>
      <c r="G415" s="376" t="s">
        <v>693</v>
      </c>
      <c r="H415" s="440" t="s">
        <v>694</v>
      </c>
      <c r="I415" s="440" t="s">
        <v>695</v>
      </c>
      <c r="J415" s="440" t="s">
        <v>696</v>
      </c>
    </row>
    <row r="416" spans="1:10" ht="12.75">
      <c r="A416" s="377" t="s">
        <v>698</v>
      </c>
      <c r="B416" s="378" t="s">
        <v>409</v>
      </c>
      <c r="C416" s="398">
        <v>20043</v>
      </c>
      <c r="D416" s="401" t="s">
        <v>1380</v>
      </c>
      <c r="E416" s="411" t="s">
        <v>737</v>
      </c>
      <c r="F416" s="602">
        <v>1</v>
      </c>
      <c r="G416" s="395">
        <v>8.0299999999999994</v>
      </c>
      <c r="H416" s="603">
        <f>F416*G416</f>
        <v>8.0299999999999994</v>
      </c>
      <c r="I416" s="604"/>
      <c r="J416" s="588">
        <f>SUM(H416:I416)</f>
        <v>8.0299999999999994</v>
      </c>
    </row>
    <row r="417" spans="1:10" ht="12.75">
      <c r="A417" s="377" t="s">
        <v>698</v>
      </c>
      <c r="B417" s="378" t="s">
        <v>406</v>
      </c>
      <c r="C417" s="392">
        <v>88248</v>
      </c>
      <c r="D417" s="576" t="s">
        <v>739</v>
      </c>
      <c r="E417" s="589" t="s">
        <v>740</v>
      </c>
      <c r="F417" s="411">
        <v>9.5000000000000001E-2</v>
      </c>
      <c r="G417" s="605">
        <v>26.14</v>
      </c>
      <c r="H417" s="603"/>
      <c r="I417" s="395">
        <f>F417*G417</f>
        <v>2.4833000000000003</v>
      </c>
      <c r="J417" s="588">
        <f t="shared" ref="J417:J418" si="42">SUM(H417:I417)</f>
        <v>2.4833000000000003</v>
      </c>
    </row>
    <row r="418" spans="1:10" ht="12.75">
      <c r="A418" s="377" t="s">
        <v>698</v>
      </c>
      <c r="B418" s="378" t="s">
        <v>406</v>
      </c>
      <c r="C418" s="392">
        <v>88267</v>
      </c>
      <c r="D418" s="576" t="s">
        <v>741</v>
      </c>
      <c r="E418" s="589" t="s">
        <v>740</v>
      </c>
      <c r="F418" s="411">
        <v>9.5000000000000001E-2</v>
      </c>
      <c r="G418" s="605">
        <v>32.130000000000003</v>
      </c>
      <c r="H418" s="411"/>
      <c r="I418" s="395">
        <f>F418*G418</f>
        <v>3.0523500000000001</v>
      </c>
      <c r="J418" s="588">
        <f t="shared" si="42"/>
        <v>3.0523500000000001</v>
      </c>
    </row>
    <row r="419" spans="1:10" ht="12.75">
      <c r="A419" s="449"/>
      <c r="B419" s="384"/>
      <c r="C419" s="450"/>
      <c r="D419" s="451" t="s">
        <v>696</v>
      </c>
      <c r="E419" s="470"/>
      <c r="F419" s="61"/>
      <c r="G419" s="58"/>
      <c r="H419" s="59">
        <f>SUM(H416:H418)</f>
        <v>8.0299999999999994</v>
      </c>
      <c r="I419" s="59">
        <f>SUM(I416:I418)</f>
        <v>5.5356500000000004</v>
      </c>
      <c r="J419" s="386">
        <f>SUM(H419:I419)</f>
        <v>13.56565</v>
      </c>
    </row>
    <row r="420" spans="1:10" ht="12.75">
      <c r="A420" s="384" t="s">
        <v>1052</v>
      </c>
      <c r="B420" s="1029" t="s">
        <v>1278</v>
      </c>
      <c r="C420" s="1030"/>
      <c r="D420" s="1030"/>
      <c r="E420" s="409"/>
      <c r="F420" s="409"/>
      <c r="G420" s="409"/>
      <c r="H420" s="409"/>
      <c r="I420" s="409"/>
      <c r="J420" s="410"/>
    </row>
    <row r="421" spans="1:10" ht="12.75">
      <c r="A421" s="401"/>
      <c r="B421" s="401"/>
      <c r="C421" s="401"/>
      <c r="D421" s="401"/>
      <c r="E421" s="63"/>
      <c r="F421" s="63"/>
      <c r="G421" s="63"/>
      <c r="H421" s="63"/>
      <c r="I421" s="63"/>
      <c r="J421" s="63"/>
    </row>
    <row r="422" spans="1:10" ht="12.75">
      <c r="A422" s="463" t="s">
        <v>697</v>
      </c>
      <c r="B422" s="463"/>
      <c r="C422" s="438" t="s">
        <v>1271</v>
      </c>
      <c r="D422" s="464" t="s">
        <v>900</v>
      </c>
      <c r="E422" s="376" t="s">
        <v>411</v>
      </c>
      <c r="F422" s="440" t="s">
        <v>692</v>
      </c>
      <c r="G422" s="376" t="s">
        <v>693</v>
      </c>
      <c r="H422" s="440" t="s">
        <v>694</v>
      </c>
      <c r="I422" s="440" t="s">
        <v>695</v>
      </c>
      <c r="J422" s="440" t="s">
        <v>696</v>
      </c>
    </row>
    <row r="423" spans="1:10" ht="12.75">
      <c r="A423" s="446" t="s">
        <v>819</v>
      </c>
      <c r="B423" s="465" t="s">
        <v>409</v>
      </c>
      <c r="C423" s="441">
        <v>88924</v>
      </c>
      <c r="D423" s="469" t="s">
        <v>1215</v>
      </c>
      <c r="E423" s="55" t="s">
        <v>15</v>
      </c>
      <c r="F423" s="51">
        <v>1</v>
      </c>
      <c r="G423" s="466">
        <v>100.37</v>
      </c>
      <c r="H423" s="52">
        <f>F423*G423</f>
        <v>100.37</v>
      </c>
      <c r="I423" s="53"/>
      <c r="J423" s="588">
        <f>SUM(H423:I423)</f>
        <v>100.37</v>
      </c>
    </row>
    <row r="424" spans="1:10" ht="12.75">
      <c r="A424" s="446" t="s">
        <v>698</v>
      </c>
      <c r="B424" s="465" t="s">
        <v>406</v>
      </c>
      <c r="C424" s="441">
        <v>88248</v>
      </c>
      <c r="D424" s="447" t="s">
        <v>739</v>
      </c>
      <c r="E424" s="432" t="s">
        <v>740</v>
      </c>
      <c r="F424" s="111">
        <v>0.13500000000000001</v>
      </c>
      <c r="G424" s="605">
        <v>26.14</v>
      </c>
      <c r="H424" s="52"/>
      <c r="I424" s="56">
        <f>F424*G424</f>
        <v>3.5289000000000001</v>
      </c>
      <c r="J424" s="588">
        <f t="shared" ref="J424:J425" si="43">SUM(H424:I424)</f>
        <v>3.5289000000000001</v>
      </c>
    </row>
    <row r="425" spans="1:10" ht="12.75">
      <c r="A425" s="446" t="s">
        <v>698</v>
      </c>
      <c r="B425" s="465" t="s">
        <v>406</v>
      </c>
      <c r="C425" s="441">
        <v>88267</v>
      </c>
      <c r="D425" s="447" t="s">
        <v>741</v>
      </c>
      <c r="E425" s="432" t="s">
        <v>740</v>
      </c>
      <c r="F425" s="111">
        <v>0.13500000000000001</v>
      </c>
      <c r="G425" s="605">
        <v>32.130000000000003</v>
      </c>
      <c r="H425" s="55"/>
      <c r="I425" s="56">
        <f>F425*G425</f>
        <v>4.3375500000000002</v>
      </c>
      <c r="J425" s="588">
        <f t="shared" si="43"/>
        <v>4.3375500000000002</v>
      </c>
    </row>
    <row r="426" spans="1:10" ht="12.75">
      <c r="A426" s="449"/>
      <c r="B426" s="441"/>
      <c r="C426" s="476"/>
      <c r="D426" s="451" t="s">
        <v>696</v>
      </c>
      <c r="E426" s="470"/>
      <c r="F426" s="61"/>
      <c r="G426" s="58"/>
      <c r="H426" s="59">
        <f>SUM(H423:H425)</f>
        <v>100.37</v>
      </c>
      <c r="I426" s="59">
        <f>SUM(I423:I425)</f>
        <v>7.8664500000000004</v>
      </c>
      <c r="J426" s="60">
        <f>SUM(H426:I426)</f>
        <v>108.23645</v>
      </c>
    </row>
    <row r="427" spans="1:10" ht="12.75">
      <c r="A427" s="469" t="s">
        <v>1052</v>
      </c>
      <c r="B427" s="1027" t="s">
        <v>1221</v>
      </c>
      <c r="C427" s="1028"/>
      <c r="D427" s="1028"/>
      <c r="E427" s="457"/>
      <c r="F427" s="457"/>
      <c r="G427" s="457"/>
      <c r="H427" s="457"/>
      <c r="I427" s="457"/>
      <c r="J427" s="458"/>
    </row>
    <row r="428" spans="1:10" ht="12.75">
      <c r="A428" s="401"/>
      <c r="B428" s="401"/>
      <c r="C428" s="401"/>
      <c r="D428" s="401"/>
      <c r="E428" s="63"/>
      <c r="F428" s="63"/>
      <c r="G428" s="63"/>
      <c r="H428" s="63"/>
      <c r="I428" s="63"/>
      <c r="J428" s="63"/>
    </row>
    <row r="429" spans="1:10" ht="25.5">
      <c r="A429" s="537" t="s">
        <v>697</v>
      </c>
      <c r="B429" s="463"/>
      <c r="C429" s="438" t="s">
        <v>1276</v>
      </c>
      <c r="D429" s="374" t="s">
        <v>1381</v>
      </c>
      <c r="E429" s="376" t="s">
        <v>411</v>
      </c>
      <c r="F429" s="440" t="s">
        <v>692</v>
      </c>
      <c r="G429" s="376" t="s">
        <v>693</v>
      </c>
      <c r="H429" s="440" t="s">
        <v>694</v>
      </c>
      <c r="I429" s="440" t="s">
        <v>695</v>
      </c>
      <c r="J429" s="440" t="s">
        <v>696</v>
      </c>
    </row>
    <row r="430" spans="1:10" ht="25.5">
      <c r="A430" s="446" t="s">
        <v>699</v>
      </c>
      <c r="B430" s="465" t="s">
        <v>409</v>
      </c>
      <c r="C430" s="478" t="s">
        <v>1217</v>
      </c>
      <c r="D430" s="379" t="s">
        <v>1501</v>
      </c>
      <c r="E430" s="55" t="s">
        <v>15</v>
      </c>
      <c r="F430" s="51">
        <v>1</v>
      </c>
      <c r="G430" s="56">
        <v>530.45000000000005</v>
      </c>
      <c r="H430" s="52">
        <f>F430*G430</f>
        <v>530.45000000000005</v>
      </c>
      <c r="I430" s="53"/>
      <c r="J430" s="588">
        <f>SUM(H430:I430)</f>
        <v>530.45000000000005</v>
      </c>
    </row>
    <row r="431" spans="1:10" ht="12.75">
      <c r="A431" s="446" t="s">
        <v>698</v>
      </c>
      <c r="B431" s="465" t="s">
        <v>406</v>
      </c>
      <c r="C431" s="441">
        <v>88248</v>
      </c>
      <c r="D431" s="447" t="s">
        <v>739</v>
      </c>
      <c r="E431" s="432" t="s">
        <v>740</v>
      </c>
      <c r="F431" s="111">
        <v>1.27</v>
      </c>
      <c r="G431" s="605">
        <v>26.14</v>
      </c>
      <c r="H431" s="52"/>
      <c r="I431" s="56">
        <f>F431*G431</f>
        <v>33.197800000000001</v>
      </c>
      <c r="J431" s="588">
        <f t="shared" ref="J431:J432" si="44">SUM(H431:I431)</f>
        <v>33.197800000000001</v>
      </c>
    </row>
    <row r="432" spans="1:10" ht="12.75">
      <c r="A432" s="446" t="s">
        <v>698</v>
      </c>
      <c r="B432" s="465" t="s">
        <v>406</v>
      </c>
      <c r="C432" s="441">
        <v>88267</v>
      </c>
      <c r="D432" s="447" t="s">
        <v>741</v>
      </c>
      <c r="E432" s="432" t="s">
        <v>740</v>
      </c>
      <c r="F432" s="111">
        <v>1.27</v>
      </c>
      <c r="G432" s="605">
        <v>32.130000000000003</v>
      </c>
      <c r="H432" s="55"/>
      <c r="I432" s="56">
        <f>F432*G432</f>
        <v>40.805100000000003</v>
      </c>
      <c r="J432" s="588">
        <f t="shared" si="44"/>
        <v>40.805100000000003</v>
      </c>
    </row>
    <row r="433" spans="1:10" ht="12.75">
      <c r="A433" s="449"/>
      <c r="B433" s="469"/>
      <c r="C433" s="450"/>
      <c r="D433" s="451" t="s">
        <v>696</v>
      </c>
      <c r="E433" s="470"/>
      <c r="F433" s="61"/>
      <c r="G433" s="58"/>
      <c r="H433" s="59">
        <f>SUM(H430:H432)</f>
        <v>530.45000000000005</v>
      </c>
      <c r="I433" s="59">
        <f>SUM(I430:I432)</f>
        <v>74.002900000000011</v>
      </c>
      <c r="J433" s="60">
        <f>SUM(H433:I433)</f>
        <v>604.4529</v>
      </c>
    </row>
    <row r="434" spans="1:10" ht="12.75">
      <c r="A434" s="469" t="s">
        <v>1052</v>
      </c>
      <c r="B434" s="1027" t="s">
        <v>1218</v>
      </c>
      <c r="C434" s="1028"/>
      <c r="D434" s="1028"/>
      <c r="E434" s="457"/>
      <c r="F434" s="457"/>
      <c r="G434" s="457"/>
      <c r="H434" s="457"/>
      <c r="I434" s="457"/>
      <c r="J434" s="458"/>
    </row>
    <row r="435" spans="1:10" ht="12.75">
      <c r="A435" s="401"/>
      <c r="B435" s="401"/>
      <c r="C435" s="401"/>
      <c r="D435" s="401"/>
      <c r="E435" s="63"/>
      <c r="F435" s="63"/>
      <c r="G435" s="63"/>
      <c r="H435" s="63"/>
      <c r="I435" s="63"/>
      <c r="J435" s="63"/>
    </row>
    <row r="436" spans="1:10" ht="12.75">
      <c r="A436" s="463" t="s">
        <v>697</v>
      </c>
      <c r="B436" s="463"/>
      <c r="C436" s="438" t="s">
        <v>1277</v>
      </c>
      <c r="D436" s="482" t="s">
        <v>906</v>
      </c>
      <c r="E436" s="376" t="s">
        <v>411</v>
      </c>
      <c r="F436" s="440" t="s">
        <v>692</v>
      </c>
      <c r="G436" s="376" t="s">
        <v>693</v>
      </c>
      <c r="H436" s="440" t="s">
        <v>694</v>
      </c>
      <c r="I436" s="440" t="s">
        <v>695</v>
      </c>
      <c r="J436" s="440" t="s">
        <v>696</v>
      </c>
    </row>
    <row r="437" spans="1:10" ht="12.75">
      <c r="A437" s="446" t="s">
        <v>699</v>
      </c>
      <c r="B437" s="465" t="s">
        <v>409</v>
      </c>
      <c r="C437" s="478" t="s">
        <v>1219</v>
      </c>
      <c r="D437" s="607" t="s">
        <v>906</v>
      </c>
      <c r="E437" s="55" t="s">
        <v>15</v>
      </c>
      <c r="F437" s="51">
        <v>1</v>
      </c>
      <c r="G437" s="56">
        <v>18.8</v>
      </c>
      <c r="H437" s="52">
        <f>F437*G437</f>
        <v>18.8</v>
      </c>
      <c r="I437" s="53"/>
      <c r="J437" s="588">
        <f>SUM(H437:I437)</f>
        <v>18.8</v>
      </c>
    </row>
    <row r="438" spans="1:10" ht="12.75">
      <c r="A438" s="446" t="s">
        <v>698</v>
      </c>
      <c r="B438" s="465" t="s">
        <v>406</v>
      </c>
      <c r="C438" s="441">
        <v>88267</v>
      </c>
      <c r="D438" s="447" t="s">
        <v>741</v>
      </c>
      <c r="E438" s="432" t="s">
        <v>740</v>
      </c>
      <c r="F438" s="111">
        <v>0.1</v>
      </c>
      <c r="G438" s="605">
        <v>32.130000000000003</v>
      </c>
      <c r="H438" s="55"/>
      <c r="I438" s="56">
        <f>F438*G438</f>
        <v>3.2130000000000005</v>
      </c>
      <c r="J438" s="588">
        <f>SUM(H438:I438)</f>
        <v>3.2130000000000005</v>
      </c>
    </row>
    <row r="439" spans="1:10" ht="12.75">
      <c r="A439" s="449"/>
      <c r="B439" s="469"/>
      <c r="C439" s="450"/>
      <c r="D439" s="451" t="s">
        <v>696</v>
      </c>
      <c r="E439" s="470"/>
      <c r="F439" s="61"/>
      <c r="G439" s="58"/>
      <c r="H439" s="59">
        <f>SUM(H437:H438)</f>
        <v>18.8</v>
      </c>
      <c r="I439" s="59">
        <f>SUM(I437:I438)</f>
        <v>3.2130000000000005</v>
      </c>
      <c r="J439" s="60">
        <f>SUM(H439:I439)</f>
        <v>22.013000000000002</v>
      </c>
    </row>
    <row r="440" spans="1:10" ht="12.75">
      <c r="A440" s="469" t="s">
        <v>1052</v>
      </c>
      <c r="B440" s="1027" t="s">
        <v>1220</v>
      </c>
      <c r="C440" s="1028"/>
      <c r="D440" s="1028"/>
      <c r="E440" s="457"/>
      <c r="F440" s="457"/>
      <c r="G440" s="457"/>
      <c r="H440" s="457"/>
      <c r="I440" s="457"/>
      <c r="J440" s="458"/>
    </row>
    <row r="441" spans="1:10" ht="12.75">
      <c r="A441" s="401"/>
      <c r="B441" s="401"/>
      <c r="C441" s="401"/>
      <c r="D441" s="401"/>
      <c r="E441" s="63"/>
      <c r="F441" s="63"/>
      <c r="G441" s="63"/>
      <c r="H441" s="63"/>
      <c r="I441" s="63"/>
      <c r="J441" s="63"/>
    </row>
    <row r="442" spans="1:10" ht="25.5">
      <c r="A442" s="463" t="s">
        <v>697</v>
      </c>
      <c r="B442" s="440"/>
      <c r="C442" s="438" t="s">
        <v>1382</v>
      </c>
      <c r="D442" s="439" t="s">
        <v>1553</v>
      </c>
      <c r="E442" s="376" t="s">
        <v>411</v>
      </c>
      <c r="F442" s="440" t="s">
        <v>692</v>
      </c>
      <c r="G442" s="376" t="s">
        <v>693</v>
      </c>
      <c r="H442" s="440" t="s">
        <v>694</v>
      </c>
      <c r="I442" s="440" t="s">
        <v>695</v>
      </c>
      <c r="J442" s="440" t="s">
        <v>696</v>
      </c>
    </row>
    <row r="443" spans="1:10" ht="25.5">
      <c r="A443" s="446" t="s">
        <v>699</v>
      </c>
      <c r="B443" s="465" t="s">
        <v>409</v>
      </c>
      <c r="C443" s="478" t="s">
        <v>1470</v>
      </c>
      <c r="D443" s="480" t="s">
        <v>1553</v>
      </c>
      <c r="E443" s="411" t="s">
        <v>737</v>
      </c>
      <c r="F443" s="62">
        <v>1</v>
      </c>
      <c r="G443" s="112">
        <v>4123.21</v>
      </c>
      <c r="H443" s="52">
        <f>F443*G443</f>
        <v>4123.21</v>
      </c>
      <c r="I443" s="53"/>
      <c r="J443" s="54">
        <f>F443*G443</f>
        <v>4123.21</v>
      </c>
    </row>
    <row r="444" spans="1:10" ht="12.75">
      <c r="A444" s="446" t="s">
        <v>698</v>
      </c>
      <c r="B444" s="465" t="s">
        <v>406</v>
      </c>
      <c r="C444" s="441">
        <v>88266</v>
      </c>
      <c r="D444" s="447" t="s">
        <v>1296</v>
      </c>
      <c r="E444" s="432" t="s">
        <v>740</v>
      </c>
      <c r="F444" s="64">
        <v>1</v>
      </c>
      <c r="G444" s="483">
        <v>36.65</v>
      </c>
      <c r="H444" s="55"/>
      <c r="I444" s="56">
        <f>F444*G444</f>
        <v>36.65</v>
      </c>
      <c r="J444" s="57">
        <f>F444*G444</f>
        <v>36.65</v>
      </c>
    </row>
    <row r="445" spans="1:10" ht="12.75">
      <c r="A445" s="446" t="s">
        <v>698</v>
      </c>
      <c r="B445" s="465" t="s">
        <v>406</v>
      </c>
      <c r="C445" s="441">
        <v>88264</v>
      </c>
      <c r="D445" s="447" t="s">
        <v>747</v>
      </c>
      <c r="E445" s="432" t="s">
        <v>740</v>
      </c>
      <c r="F445" s="64">
        <v>1</v>
      </c>
      <c r="G445" s="483">
        <v>32.99</v>
      </c>
      <c r="H445" s="55"/>
      <c r="I445" s="56">
        <f>F445*G445</f>
        <v>32.99</v>
      </c>
      <c r="J445" s="57">
        <f>F445*G445</f>
        <v>32.99</v>
      </c>
    </row>
    <row r="446" spans="1:10" ht="12.75">
      <c r="A446" s="449"/>
      <c r="B446" s="441"/>
      <c r="C446" s="476"/>
      <c r="D446" s="451" t="s">
        <v>696</v>
      </c>
      <c r="E446" s="470"/>
      <c r="F446" s="61"/>
      <c r="G446" s="58"/>
      <c r="H446" s="59">
        <f>SUM(H443:H445)</f>
        <v>4123.21</v>
      </c>
      <c r="I446" s="59">
        <f>SUM(I443:I445)</f>
        <v>69.64</v>
      </c>
      <c r="J446" s="60">
        <f>SUM(J443:J445)</f>
        <v>4192.8499999999995</v>
      </c>
    </row>
    <row r="447" spans="1:10" ht="12.75">
      <c r="A447" s="469"/>
      <c r="B447" s="1027"/>
      <c r="C447" s="1028"/>
      <c r="D447" s="1028"/>
      <c r="E447" s="457"/>
      <c r="F447" s="457"/>
      <c r="G447" s="457"/>
      <c r="H447" s="457"/>
      <c r="I447" s="457"/>
      <c r="J447" s="484"/>
    </row>
    <row r="448" spans="1:10" ht="12.75">
      <c r="A448" s="425"/>
      <c r="B448" s="425"/>
      <c r="C448" s="425"/>
      <c r="D448" s="426"/>
      <c r="E448" s="427"/>
      <c r="F448" s="428"/>
      <c r="G448" s="428"/>
      <c r="H448" s="485"/>
      <c r="I448" s="427"/>
      <c r="J448" s="486"/>
    </row>
    <row r="449" spans="1:10" ht="38.25">
      <c r="A449" s="463" t="s">
        <v>697</v>
      </c>
      <c r="B449" s="440"/>
      <c r="C449" s="438" t="s">
        <v>1383</v>
      </c>
      <c r="D449" s="439" t="s">
        <v>1544</v>
      </c>
      <c r="E449" s="376" t="s">
        <v>411</v>
      </c>
      <c r="F449" s="440" t="s">
        <v>692</v>
      </c>
      <c r="G449" s="376" t="s">
        <v>693</v>
      </c>
      <c r="H449" s="440" t="s">
        <v>694</v>
      </c>
      <c r="I449" s="440" t="s">
        <v>695</v>
      </c>
      <c r="J449" s="440" t="s">
        <v>696</v>
      </c>
    </row>
    <row r="450" spans="1:10" ht="38.25">
      <c r="A450" s="446" t="s">
        <v>699</v>
      </c>
      <c r="B450" s="465" t="s">
        <v>409</v>
      </c>
      <c r="C450" s="478" t="s">
        <v>1471</v>
      </c>
      <c r="D450" s="480" t="s">
        <v>1544</v>
      </c>
      <c r="E450" s="411" t="s">
        <v>737</v>
      </c>
      <c r="F450" s="62">
        <v>1</v>
      </c>
      <c r="G450" s="112">
        <v>539.62</v>
      </c>
      <c r="H450" s="52">
        <f>F450*G450</f>
        <v>539.62</v>
      </c>
      <c r="I450" s="53"/>
      <c r="J450" s="54">
        <f>F450*G450</f>
        <v>539.62</v>
      </c>
    </row>
    <row r="451" spans="1:10" ht="12.75">
      <c r="A451" s="446" t="s">
        <v>698</v>
      </c>
      <c r="B451" s="465" t="s">
        <v>406</v>
      </c>
      <c r="C451" s="441">
        <v>88266</v>
      </c>
      <c r="D451" s="447" t="s">
        <v>1296</v>
      </c>
      <c r="E451" s="432" t="s">
        <v>740</v>
      </c>
      <c r="F451" s="64">
        <v>1</v>
      </c>
      <c r="G451" s="483">
        <v>36.65</v>
      </c>
      <c r="H451" s="55"/>
      <c r="I451" s="56">
        <f>F451*G451</f>
        <v>36.65</v>
      </c>
      <c r="J451" s="57">
        <f>F451*G451</f>
        <v>36.65</v>
      </c>
    </row>
    <row r="452" spans="1:10" ht="12.75">
      <c r="A452" s="446" t="s">
        <v>698</v>
      </c>
      <c r="B452" s="465" t="s">
        <v>406</v>
      </c>
      <c r="C452" s="441">
        <v>88264</v>
      </c>
      <c r="D452" s="447" t="s">
        <v>747</v>
      </c>
      <c r="E452" s="432" t="s">
        <v>740</v>
      </c>
      <c r="F452" s="64">
        <v>1</v>
      </c>
      <c r="G452" s="483">
        <v>32.99</v>
      </c>
      <c r="H452" s="55"/>
      <c r="I452" s="56">
        <f>F452*G452</f>
        <v>32.99</v>
      </c>
      <c r="J452" s="57">
        <f>F452*G452</f>
        <v>32.99</v>
      </c>
    </row>
    <row r="453" spans="1:10" ht="12.75">
      <c r="A453" s="449"/>
      <c r="B453" s="441"/>
      <c r="C453" s="476"/>
      <c r="D453" s="451" t="s">
        <v>696</v>
      </c>
      <c r="E453" s="470"/>
      <c r="F453" s="61"/>
      <c r="G453" s="58"/>
      <c r="H453" s="59">
        <f>SUM(H450:H452)</f>
        <v>539.62</v>
      </c>
      <c r="I453" s="59">
        <f>SUM(I450:I452)</f>
        <v>69.64</v>
      </c>
      <c r="J453" s="60">
        <f>SUM(J450:J452)</f>
        <v>609.26</v>
      </c>
    </row>
    <row r="454" spans="1:10" ht="12.75">
      <c r="A454" s="469"/>
      <c r="B454" s="1027"/>
      <c r="C454" s="1028"/>
      <c r="D454" s="1028"/>
      <c r="E454" s="457"/>
      <c r="F454" s="457"/>
      <c r="G454" s="457"/>
      <c r="H454" s="457"/>
      <c r="I454" s="457"/>
      <c r="J454" s="484"/>
    </row>
    <row r="455" spans="1:10" ht="12.75">
      <c r="A455" s="425"/>
      <c r="B455" s="425"/>
      <c r="C455" s="425"/>
      <c r="D455" s="426"/>
      <c r="E455" s="427"/>
      <c r="F455" s="428"/>
      <c r="G455" s="428"/>
      <c r="H455" s="485"/>
      <c r="I455" s="427"/>
      <c r="J455" s="486"/>
    </row>
    <row r="456" spans="1:10" ht="25.5">
      <c r="A456" s="463" t="s">
        <v>697</v>
      </c>
      <c r="B456" s="440"/>
      <c r="C456" s="438" t="s">
        <v>1384</v>
      </c>
      <c r="D456" s="439" t="s">
        <v>1545</v>
      </c>
      <c r="E456" s="376" t="s">
        <v>411</v>
      </c>
      <c r="F456" s="440" t="s">
        <v>692</v>
      </c>
      <c r="G456" s="376" t="s">
        <v>693</v>
      </c>
      <c r="H456" s="440" t="s">
        <v>694</v>
      </c>
      <c r="I456" s="440" t="s">
        <v>695</v>
      </c>
      <c r="J456" s="440" t="s">
        <v>696</v>
      </c>
    </row>
    <row r="457" spans="1:10" ht="25.5">
      <c r="A457" s="446" t="s">
        <v>699</v>
      </c>
      <c r="B457" s="465" t="s">
        <v>409</v>
      </c>
      <c r="C457" s="478" t="s">
        <v>1472</v>
      </c>
      <c r="D457" s="480" t="s">
        <v>1545</v>
      </c>
      <c r="E457" s="411" t="s">
        <v>737</v>
      </c>
      <c r="F457" s="62">
        <v>1</v>
      </c>
      <c r="G457" s="112">
        <v>204.19</v>
      </c>
      <c r="H457" s="52">
        <f>F457*G457</f>
        <v>204.19</v>
      </c>
      <c r="I457" s="53"/>
      <c r="J457" s="54">
        <f>F457*G457</f>
        <v>204.19</v>
      </c>
    </row>
    <row r="458" spans="1:10" ht="12.75">
      <c r="A458" s="446" t="s">
        <v>698</v>
      </c>
      <c r="B458" s="465" t="s">
        <v>406</v>
      </c>
      <c r="C458" s="441">
        <v>88266</v>
      </c>
      <c r="D458" s="447" t="s">
        <v>1296</v>
      </c>
      <c r="E458" s="432" t="s">
        <v>740</v>
      </c>
      <c r="F458" s="64">
        <v>1</v>
      </c>
      <c r="G458" s="483">
        <v>36.65</v>
      </c>
      <c r="H458" s="55"/>
      <c r="I458" s="56">
        <f>F458*G458</f>
        <v>36.65</v>
      </c>
      <c r="J458" s="57">
        <f>F458*G458</f>
        <v>36.65</v>
      </c>
    </row>
    <row r="459" spans="1:10" ht="12.75">
      <c r="A459" s="446" t="s">
        <v>698</v>
      </c>
      <c r="B459" s="465" t="s">
        <v>406</v>
      </c>
      <c r="C459" s="441">
        <v>88264</v>
      </c>
      <c r="D459" s="447" t="s">
        <v>747</v>
      </c>
      <c r="E459" s="432" t="s">
        <v>740</v>
      </c>
      <c r="F459" s="64">
        <v>1</v>
      </c>
      <c r="G459" s="483">
        <v>32.99</v>
      </c>
      <c r="H459" s="55"/>
      <c r="I459" s="56">
        <f>F459*G459</f>
        <v>32.99</v>
      </c>
      <c r="J459" s="57">
        <f>F459*G459</f>
        <v>32.99</v>
      </c>
    </row>
    <row r="460" spans="1:10" ht="12.75">
      <c r="A460" s="449"/>
      <c r="B460" s="441"/>
      <c r="C460" s="476"/>
      <c r="D460" s="451" t="s">
        <v>696</v>
      </c>
      <c r="E460" s="470"/>
      <c r="F460" s="61"/>
      <c r="G460" s="58"/>
      <c r="H460" s="59">
        <f>SUM(H457:H459)</f>
        <v>204.19</v>
      </c>
      <c r="I460" s="59">
        <f>SUM(I457:I459)</f>
        <v>69.64</v>
      </c>
      <c r="J460" s="60">
        <f>SUM(J457:J459)</f>
        <v>273.83</v>
      </c>
    </row>
    <row r="461" spans="1:10" ht="12.75">
      <c r="A461" s="469"/>
      <c r="B461" s="1027"/>
      <c r="C461" s="1028"/>
      <c r="D461" s="1028"/>
      <c r="E461" s="457"/>
      <c r="F461" s="457"/>
      <c r="G461" s="457"/>
      <c r="H461" s="457"/>
      <c r="I461" s="457"/>
      <c r="J461" s="484"/>
    </row>
    <row r="462" spans="1:10" ht="12.75">
      <c r="A462" s="425"/>
      <c r="B462" s="425"/>
      <c r="C462" s="425"/>
      <c r="D462" s="426"/>
      <c r="E462" s="427"/>
      <c r="F462" s="428"/>
      <c r="G462" s="428"/>
      <c r="H462" s="485"/>
      <c r="I462" s="427"/>
      <c r="J462" s="486"/>
    </row>
    <row r="463" spans="1:10" ht="25.5">
      <c r="A463" s="463" t="s">
        <v>697</v>
      </c>
      <c r="B463" s="440"/>
      <c r="C463" s="438" t="s">
        <v>1385</v>
      </c>
      <c r="D463" s="439" t="s">
        <v>1546</v>
      </c>
      <c r="E463" s="376" t="s">
        <v>411</v>
      </c>
      <c r="F463" s="440" t="s">
        <v>692</v>
      </c>
      <c r="G463" s="376" t="s">
        <v>693</v>
      </c>
      <c r="H463" s="440" t="s">
        <v>694</v>
      </c>
      <c r="I463" s="440" t="s">
        <v>695</v>
      </c>
      <c r="J463" s="440" t="s">
        <v>696</v>
      </c>
    </row>
    <row r="464" spans="1:10" ht="25.5">
      <c r="A464" s="446" t="s">
        <v>699</v>
      </c>
      <c r="B464" s="465" t="s">
        <v>409</v>
      </c>
      <c r="C464" s="478" t="s">
        <v>1473</v>
      </c>
      <c r="D464" s="480" t="s">
        <v>1546</v>
      </c>
      <c r="E464" s="411" t="s">
        <v>737</v>
      </c>
      <c r="F464" s="62">
        <v>1</v>
      </c>
      <c r="G464" s="112">
        <v>118.24</v>
      </c>
      <c r="H464" s="52">
        <f>F464*G464</f>
        <v>118.24</v>
      </c>
      <c r="I464" s="53"/>
      <c r="J464" s="54">
        <f>F464*G464</f>
        <v>118.24</v>
      </c>
    </row>
    <row r="465" spans="1:10" ht="12.75">
      <c r="A465" s="446" t="s">
        <v>698</v>
      </c>
      <c r="B465" s="465" t="s">
        <v>406</v>
      </c>
      <c r="C465" s="441">
        <v>88266</v>
      </c>
      <c r="D465" s="447" t="s">
        <v>1296</v>
      </c>
      <c r="E465" s="432" t="s">
        <v>740</v>
      </c>
      <c r="F465" s="64">
        <v>1</v>
      </c>
      <c r="G465" s="483">
        <v>36.65</v>
      </c>
      <c r="H465" s="55"/>
      <c r="I465" s="56">
        <f>F465*G465</f>
        <v>36.65</v>
      </c>
      <c r="J465" s="57">
        <f>F465*G465</f>
        <v>36.65</v>
      </c>
    </row>
    <row r="466" spans="1:10" ht="12.75">
      <c r="A466" s="446" t="s">
        <v>698</v>
      </c>
      <c r="B466" s="465" t="s">
        <v>406</v>
      </c>
      <c r="C466" s="441">
        <v>88264</v>
      </c>
      <c r="D466" s="447" t="s">
        <v>747</v>
      </c>
      <c r="E466" s="432" t="s">
        <v>740</v>
      </c>
      <c r="F466" s="64">
        <v>1</v>
      </c>
      <c r="G466" s="483">
        <v>32.99</v>
      </c>
      <c r="H466" s="55"/>
      <c r="I466" s="56">
        <f>F466*G466</f>
        <v>32.99</v>
      </c>
      <c r="J466" s="57">
        <f>F466*G466</f>
        <v>32.99</v>
      </c>
    </row>
    <row r="467" spans="1:10" ht="12.75">
      <c r="A467" s="449"/>
      <c r="B467" s="469"/>
      <c r="C467" s="450"/>
      <c r="D467" s="451" t="s">
        <v>696</v>
      </c>
      <c r="E467" s="470"/>
      <c r="F467" s="61"/>
      <c r="G467" s="58"/>
      <c r="H467" s="59">
        <f>SUM(H464:H466)</f>
        <v>118.24</v>
      </c>
      <c r="I467" s="59">
        <f>SUM(I464:I466)</f>
        <v>69.64</v>
      </c>
      <c r="J467" s="60">
        <f>SUM(J464:J466)</f>
        <v>187.88</v>
      </c>
    </row>
    <row r="468" spans="1:10" ht="12.75">
      <c r="A468" s="469"/>
      <c r="B468" s="1027"/>
      <c r="C468" s="1028"/>
      <c r="D468" s="1028"/>
      <c r="E468" s="457"/>
      <c r="F468" s="457"/>
      <c r="G468" s="457"/>
      <c r="H468" s="457"/>
      <c r="I468" s="457"/>
      <c r="J468" s="458"/>
    </row>
    <row r="469" spans="1:10" ht="12.75">
      <c r="A469" s="425"/>
      <c r="B469" s="425"/>
      <c r="C469" s="425"/>
      <c r="D469" s="426"/>
      <c r="E469" s="427"/>
      <c r="F469" s="428"/>
      <c r="G469" s="428"/>
      <c r="H469" s="485"/>
      <c r="I469" s="427"/>
      <c r="J469" s="487"/>
    </row>
    <row r="470" spans="1:10" ht="25.5">
      <c r="A470" s="463" t="s">
        <v>697</v>
      </c>
      <c r="B470" s="440"/>
      <c r="C470" s="438" t="s">
        <v>1386</v>
      </c>
      <c r="D470" s="439" t="s">
        <v>1547</v>
      </c>
      <c r="E470" s="376" t="s">
        <v>411</v>
      </c>
      <c r="F470" s="440" t="s">
        <v>692</v>
      </c>
      <c r="G470" s="376" t="s">
        <v>693</v>
      </c>
      <c r="H470" s="440" t="s">
        <v>694</v>
      </c>
      <c r="I470" s="440" t="s">
        <v>695</v>
      </c>
      <c r="J470" s="440" t="s">
        <v>696</v>
      </c>
    </row>
    <row r="471" spans="1:10" ht="25.5">
      <c r="A471" s="446" t="s">
        <v>699</v>
      </c>
      <c r="B471" s="465" t="s">
        <v>409</v>
      </c>
      <c r="C471" s="478" t="s">
        <v>1474</v>
      </c>
      <c r="D471" s="480" t="s">
        <v>1547</v>
      </c>
      <c r="E471" s="411" t="s">
        <v>737</v>
      </c>
      <c r="F471" s="62">
        <v>1</v>
      </c>
      <c r="G471" s="112">
        <v>259.89999999999998</v>
      </c>
      <c r="H471" s="52">
        <f>F471*G471</f>
        <v>259.89999999999998</v>
      </c>
      <c r="I471" s="53"/>
      <c r="J471" s="54">
        <f>F471*G471</f>
        <v>259.89999999999998</v>
      </c>
    </row>
    <row r="472" spans="1:10" ht="12.75">
      <c r="A472" s="446" t="s">
        <v>698</v>
      </c>
      <c r="B472" s="465" t="s">
        <v>406</v>
      </c>
      <c r="C472" s="441">
        <v>88266</v>
      </c>
      <c r="D472" s="447" t="s">
        <v>1296</v>
      </c>
      <c r="E472" s="432" t="s">
        <v>740</v>
      </c>
      <c r="F472" s="64">
        <v>0.65</v>
      </c>
      <c r="G472" s="483">
        <v>36.65</v>
      </c>
      <c r="H472" s="55"/>
      <c r="I472" s="56">
        <f>F472*G472</f>
        <v>23.822500000000002</v>
      </c>
      <c r="J472" s="57">
        <f>F472*G472</f>
        <v>23.822500000000002</v>
      </c>
    </row>
    <row r="473" spans="1:10" ht="12.75">
      <c r="A473" s="446" t="s">
        <v>698</v>
      </c>
      <c r="B473" s="465" t="s">
        <v>406</v>
      </c>
      <c r="C473" s="441">
        <v>88264</v>
      </c>
      <c r="D473" s="447" t="s">
        <v>747</v>
      </c>
      <c r="E473" s="432" t="s">
        <v>740</v>
      </c>
      <c r="F473" s="64">
        <v>0.65</v>
      </c>
      <c r="G473" s="483">
        <v>32.99</v>
      </c>
      <c r="H473" s="55"/>
      <c r="I473" s="56">
        <f>F473*G473</f>
        <v>21.443500000000004</v>
      </c>
      <c r="J473" s="57">
        <f>F473*G473</f>
        <v>21.443500000000004</v>
      </c>
    </row>
    <row r="474" spans="1:10" ht="12.75">
      <c r="A474" s="449"/>
      <c r="B474" s="441"/>
      <c r="C474" s="476"/>
      <c r="D474" s="451" t="s">
        <v>696</v>
      </c>
      <c r="E474" s="470"/>
      <c r="F474" s="61"/>
      <c r="G474" s="58"/>
      <c r="H474" s="59">
        <f>SUM(H471:H473)</f>
        <v>259.89999999999998</v>
      </c>
      <c r="I474" s="59">
        <f>SUM(I471:I473)</f>
        <v>45.266000000000005</v>
      </c>
      <c r="J474" s="60">
        <f>SUM(J471:J473)</f>
        <v>305.166</v>
      </c>
    </row>
    <row r="475" spans="1:10" ht="12.75">
      <c r="A475" s="469"/>
      <c r="B475" s="1027"/>
      <c r="C475" s="1028"/>
      <c r="D475" s="1028"/>
      <c r="E475" s="457"/>
      <c r="F475" s="457"/>
      <c r="G475" s="457"/>
      <c r="H475" s="457"/>
      <c r="I475" s="457"/>
      <c r="J475" s="458"/>
    </row>
    <row r="476" spans="1:10" ht="12.75">
      <c r="A476" s="425"/>
      <c r="B476" s="425"/>
      <c r="C476" s="425"/>
      <c r="D476" s="426"/>
      <c r="E476" s="427"/>
      <c r="F476" s="428"/>
      <c r="G476" s="428"/>
      <c r="H476" s="485"/>
      <c r="I476" s="427"/>
      <c r="J476" s="487"/>
    </row>
    <row r="477" spans="1:10" ht="25.5">
      <c r="A477" s="463" t="s">
        <v>697</v>
      </c>
      <c r="B477" s="440"/>
      <c r="C477" s="438" t="s">
        <v>1387</v>
      </c>
      <c r="D477" s="439" t="s">
        <v>1548</v>
      </c>
      <c r="E477" s="376" t="s">
        <v>411</v>
      </c>
      <c r="F477" s="440" t="s">
        <v>692</v>
      </c>
      <c r="G477" s="376" t="s">
        <v>693</v>
      </c>
      <c r="H477" s="440" t="s">
        <v>694</v>
      </c>
      <c r="I477" s="440" t="s">
        <v>695</v>
      </c>
      <c r="J477" s="440" t="s">
        <v>696</v>
      </c>
    </row>
    <row r="478" spans="1:10" ht="25.5">
      <c r="A478" s="446" t="s">
        <v>699</v>
      </c>
      <c r="B478" s="465" t="s">
        <v>409</v>
      </c>
      <c r="C478" s="478" t="s">
        <v>1498</v>
      </c>
      <c r="D478" s="480" t="s">
        <v>1548</v>
      </c>
      <c r="E478" s="411" t="s">
        <v>737</v>
      </c>
      <c r="F478" s="62">
        <v>1</v>
      </c>
      <c r="G478" s="488">
        <v>2749.76</v>
      </c>
      <c r="H478" s="52">
        <f>F478*G478</f>
        <v>2749.76</v>
      </c>
      <c r="I478" s="53"/>
      <c r="J478" s="54">
        <f>F478*G478</f>
        <v>2749.76</v>
      </c>
    </row>
    <row r="479" spans="1:10" ht="12.75">
      <c r="A479" s="449"/>
      <c r="B479" s="441"/>
      <c r="C479" s="476"/>
      <c r="D479" s="451" t="s">
        <v>696</v>
      </c>
      <c r="E479" s="470"/>
      <c r="F479" s="489"/>
      <c r="G479" s="490"/>
      <c r="H479" s="491">
        <f>SUM(H478:H478)</f>
        <v>2749.76</v>
      </c>
      <c r="I479" s="491">
        <f>SUM(I478:I478)</f>
        <v>0</v>
      </c>
      <c r="J479" s="60">
        <f>SUM(J478:J478)</f>
        <v>2749.76</v>
      </c>
    </row>
    <row r="480" spans="1:10" ht="12.75">
      <c r="A480" s="425"/>
      <c r="B480" s="425"/>
      <c r="C480" s="425"/>
      <c r="D480" s="426"/>
      <c r="E480" s="427"/>
      <c r="F480" s="428"/>
      <c r="G480" s="428"/>
      <c r="H480" s="485"/>
      <c r="I480" s="427"/>
      <c r="J480" s="487"/>
    </row>
    <row r="481" spans="1:10" ht="25.5">
      <c r="A481" s="463" t="s">
        <v>697</v>
      </c>
      <c r="B481" s="440"/>
      <c r="C481" s="438" t="s">
        <v>1388</v>
      </c>
      <c r="D481" s="439" t="s">
        <v>1550</v>
      </c>
      <c r="E481" s="376" t="s">
        <v>411</v>
      </c>
      <c r="F481" s="440" t="s">
        <v>692</v>
      </c>
      <c r="G481" s="376" t="s">
        <v>693</v>
      </c>
      <c r="H481" s="440" t="s">
        <v>694</v>
      </c>
      <c r="I481" s="440" t="s">
        <v>695</v>
      </c>
      <c r="J481" s="440" t="s">
        <v>696</v>
      </c>
    </row>
    <row r="482" spans="1:10" ht="25.5">
      <c r="A482" s="446" t="s">
        <v>699</v>
      </c>
      <c r="B482" s="465" t="s">
        <v>409</v>
      </c>
      <c r="C482" s="478" t="s">
        <v>1298</v>
      </c>
      <c r="D482" s="480" t="s">
        <v>1550</v>
      </c>
      <c r="E482" s="492" t="s">
        <v>737</v>
      </c>
      <c r="F482" s="62">
        <v>1</v>
      </c>
      <c r="G482" s="488">
        <v>923.8</v>
      </c>
      <c r="H482" s="52">
        <f>F482*G482</f>
        <v>923.8</v>
      </c>
      <c r="I482" s="53"/>
      <c r="J482" s="54">
        <f>F482*G482</f>
        <v>923.8</v>
      </c>
    </row>
    <row r="483" spans="1:10" ht="12.75">
      <c r="A483" s="449"/>
      <c r="B483" s="469"/>
      <c r="C483" s="450"/>
      <c r="D483" s="451" t="s">
        <v>696</v>
      </c>
      <c r="E483" s="55"/>
      <c r="F483" s="493"/>
      <c r="G483" s="490"/>
      <c r="H483" s="491">
        <f>SUM(H482:H482)</f>
        <v>923.8</v>
      </c>
      <c r="I483" s="491">
        <f>SUM(I482:I482)</f>
        <v>0</v>
      </c>
      <c r="J483" s="60">
        <f>SUM(J482:J482)</f>
        <v>923.8</v>
      </c>
    </row>
    <row r="484" spans="1:10" ht="12.75">
      <c r="A484" s="425"/>
      <c r="B484" s="425"/>
      <c r="C484" s="425"/>
      <c r="D484" s="426"/>
      <c r="E484" s="427"/>
      <c r="F484" s="428"/>
      <c r="G484" s="428"/>
      <c r="H484" s="485"/>
      <c r="I484" s="427"/>
      <c r="J484" s="487"/>
    </row>
    <row r="485" spans="1:10" ht="38.25">
      <c r="A485" s="463" t="s">
        <v>697</v>
      </c>
      <c r="B485" s="440"/>
      <c r="C485" s="438" t="s">
        <v>1389</v>
      </c>
      <c r="D485" s="581" t="s">
        <v>1549</v>
      </c>
      <c r="E485" s="376" t="s">
        <v>411</v>
      </c>
      <c r="F485" s="440" t="s">
        <v>692</v>
      </c>
      <c r="G485" s="376" t="s">
        <v>693</v>
      </c>
      <c r="H485" s="440" t="s">
        <v>694</v>
      </c>
      <c r="I485" s="440" t="s">
        <v>695</v>
      </c>
      <c r="J485" s="440" t="s">
        <v>696</v>
      </c>
    </row>
    <row r="486" spans="1:10" ht="38.25">
      <c r="A486" s="446" t="s">
        <v>699</v>
      </c>
      <c r="B486" s="432" t="s">
        <v>409</v>
      </c>
      <c r="C486" s="478" t="s">
        <v>1499</v>
      </c>
      <c r="D486" s="494" t="s">
        <v>1549</v>
      </c>
      <c r="E486" s="411" t="s">
        <v>737</v>
      </c>
      <c r="F486" s="64">
        <v>1</v>
      </c>
      <c r="G486" s="112">
        <v>6594.16</v>
      </c>
      <c r="H486" s="56">
        <f>F486*G486</f>
        <v>6594.16</v>
      </c>
      <c r="I486" s="495"/>
      <c r="J486" s="57">
        <f>F486*G486</f>
        <v>6594.16</v>
      </c>
    </row>
    <row r="487" spans="1:10" ht="12.75">
      <c r="A487" s="449"/>
      <c r="B487" s="469"/>
      <c r="C487" s="450"/>
      <c r="D487" s="451" t="s">
        <v>696</v>
      </c>
      <c r="E487" s="470"/>
      <c r="F487" s="61"/>
      <c r="G487" s="58"/>
      <c r="H487" s="59">
        <f>SUM(H486:H486)</f>
        <v>6594.16</v>
      </c>
      <c r="I487" s="59">
        <f>SUM(I486:I486)</f>
        <v>0</v>
      </c>
      <c r="J487" s="455">
        <f>SUM(J486:J486)</f>
        <v>6594.16</v>
      </c>
    </row>
    <row r="488" spans="1:10" ht="12.75">
      <c r="A488" s="425"/>
      <c r="B488" s="425"/>
      <c r="C488" s="425"/>
      <c r="D488" s="426"/>
      <c r="E488" s="427"/>
      <c r="F488" s="428"/>
      <c r="G488" s="428"/>
      <c r="H488" s="485"/>
      <c r="I488" s="427"/>
      <c r="J488" s="487"/>
    </row>
    <row r="489" spans="1:10" ht="25.5">
      <c r="A489" s="463" t="s">
        <v>697</v>
      </c>
      <c r="B489" s="440"/>
      <c r="C489" s="438" t="s">
        <v>1390</v>
      </c>
      <c r="D489" s="439" t="s">
        <v>1551</v>
      </c>
      <c r="E489" s="376" t="s">
        <v>411</v>
      </c>
      <c r="F489" s="440" t="s">
        <v>692</v>
      </c>
      <c r="G489" s="376" t="s">
        <v>693</v>
      </c>
      <c r="H489" s="440" t="s">
        <v>694</v>
      </c>
      <c r="I489" s="440" t="s">
        <v>695</v>
      </c>
      <c r="J489" s="440" t="s">
        <v>696</v>
      </c>
    </row>
    <row r="490" spans="1:10" ht="25.5">
      <c r="A490" s="446" t="s">
        <v>699</v>
      </c>
      <c r="B490" s="465" t="s">
        <v>409</v>
      </c>
      <c r="C490" s="478" t="s">
        <v>1475</v>
      </c>
      <c r="D490" s="480" t="s">
        <v>1551</v>
      </c>
      <c r="E490" s="411" t="s">
        <v>737</v>
      </c>
      <c r="F490" s="62">
        <v>1</v>
      </c>
      <c r="G490" s="112">
        <v>999.99</v>
      </c>
      <c r="H490" s="52">
        <f>F490*G490</f>
        <v>999.99</v>
      </c>
      <c r="I490" s="53"/>
      <c r="J490" s="54">
        <f>F490*G490</f>
        <v>999.99</v>
      </c>
    </row>
    <row r="491" spans="1:10" ht="12.75">
      <c r="A491" s="446" t="s">
        <v>698</v>
      </c>
      <c r="B491" s="465" t="s">
        <v>406</v>
      </c>
      <c r="C491" s="441">
        <v>88266</v>
      </c>
      <c r="D491" s="447" t="s">
        <v>1296</v>
      </c>
      <c r="E491" s="432" t="s">
        <v>740</v>
      </c>
      <c r="F491" s="64">
        <v>2</v>
      </c>
      <c r="G491" s="483">
        <v>36.65</v>
      </c>
      <c r="H491" s="55"/>
      <c r="I491" s="56">
        <f>F491*G491</f>
        <v>73.3</v>
      </c>
      <c r="J491" s="57">
        <f>F491*G491</f>
        <v>73.3</v>
      </c>
    </row>
    <row r="492" spans="1:10" ht="12.75">
      <c r="A492" s="446" t="s">
        <v>698</v>
      </c>
      <c r="B492" s="465" t="s">
        <v>406</v>
      </c>
      <c r="C492" s="441">
        <v>88264</v>
      </c>
      <c r="D492" s="447" t="s">
        <v>747</v>
      </c>
      <c r="E492" s="432" t="s">
        <v>740</v>
      </c>
      <c r="F492" s="64">
        <v>2</v>
      </c>
      <c r="G492" s="483">
        <v>32.99</v>
      </c>
      <c r="H492" s="55"/>
      <c r="I492" s="56">
        <f>F492*G492</f>
        <v>65.98</v>
      </c>
      <c r="J492" s="57">
        <f>F492*G492</f>
        <v>65.98</v>
      </c>
    </row>
    <row r="493" spans="1:10" ht="12.75">
      <c r="A493" s="449"/>
      <c r="B493" s="441"/>
      <c r="C493" s="476"/>
      <c r="D493" s="451" t="s">
        <v>696</v>
      </c>
      <c r="E493" s="470"/>
      <c r="F493" s="61"/>
      <c r="G493" s="58"/>
      <c r="H493" s="59">
        <f>SUM(H490:H492)</f>
        <v>999.99</v>
      </c>
      <c r="I493" s="59">
        <f>SUM(I490:I492)</f>
        <v>139.28</v>
      </c>
      <c r="J493" s="60">
        <f>SUM(J490:J492)</f>
        <v>1139.27</v>
      </c>
    </row>
    <row r="494" spans="1:10" ht="12.75">
      <c r="A494" s="425"/>
      <c r="B494" s="425"/>
      <c r="C494" s="425"/>
      <c r="D494" s="426"/>
      <c r="E494" s="427"/>
      <c r="F494" s="428"/>
      <c r="G494" s="428"/>
      <c r="H494" s="485"/>
      <c r="I494" s="427"/>
      <c r="J494" s="487"/>
    </row>
    <row r="495" spans="1:10" ht="38.25">
      <c r="A495" s="463" t="s">
        <v>697</v>
      </c>
      <c r="B495" s="440"/>
      <c r="C495" s="438" t="s">
        <v>1401</v>
      </c>
      <c r="D495" s="374" t="s">
        <v>1041</v>
      </c>
      <c r="E495" s="376" t="s">
        <v>411</v>
      </c>
      <c r="F495" s="440" t="s">
        <v>692</v>
      </c>
      <c r="G495" s="376" t="s">
        <v>693</v>
      </c>
      <c r="H495" s="440" t="s">
        <v>694</v>
      </c>
      <c r="I495" s="440" t="s">
        <v>695</v>
      </c>
      <c r="J495" s="440" t="s">
        <v>696</v>
      </c>
    </row>
    <row r="496" spans="1:10" ht="38.25">
      <c r="A496" s="446" t="s">
        <v>699</v>
      </c>
      <c r="B496" s="465" t="s">
        <v>409</v>
      </c>
      <c r="C496" s="478" t="s">
        <v>1476</v>
      </c>
      <c r="D496" s="379" t="s">
        <v>1041</v>
      </c>
      <c r="E496" s="411" t="s">
        <v>737</v>
      </c>
      <c r="F496" s="62">
        <v>1</v>
      </c>
      <c r="G496" s="112">
        <v>36.1</v>
      </c>
      <c r="H496" s="52">
        <f>F496*G496</f>
        <v>36.1</v>
      </c>
      <c r="I496" s="53"/>
      <c r="J496" s="54">
        <f>F496*G496</f>
        <v>36.1</v>
      </c>
    </row>
    <row r="497" spans="1:10" ht="12.75">
      <c r="A497" s="446" t="s">
        <v>698</v>
      </c>
      <c r="B497" s="465" t="s">
        <v>406</v>
      </c>
      <c r="C497" s="441">
        <v>88247</v>
      </c>
      <c r="D497" s="447" t="s">
        <v>746</v>
      </c>
      <c r="E497" s="432" t="s">
        <v>740</v>
      </c>
      <c r="F497" s="64">
        <v>2.2999999999999998</v>
      </c>
      <c r="G497" s="483">
        <v>26.96</v>
      </c>
      <c r="H497" s="55"/>
      <c r="I497" s="56">
        <f>F497*G497</f>
        <v>62.007999999999996</v>
      </c>
      <c r="J497" s="57">
        <f>F497*G497</f>
        <v>62.007999999999996</v>
      </c>
    </row>
    <row r="498" spans="1:10" ht="12.75">
      <c r="A498" s="446" t="s">
        <v>698</v>
      </c>
      <c r="B498" s="465" t="s">
        <v>406</v>
      </c>
      <c r="C498" s="441">
        <v>88264</v>
      </c>
      <c r="D498" s="447" t="s">
        <v>747</v>
      </c>
      <c r="E498" s="432" t="s">
        <v>740</v>
      </c>
      <c r="F498" s="64">
        <v>2.2999999999999998</v>
      </c>
      <c r="G498" s="483">
        <v>32.99</v>
      </c>
      <c r="H498" s="55"/>
      <c r="I498" s="56">
        <f>F498*G498</f>
        <v>75.876999999999995</v>
      </c>
      <c r="J498" s="57">
        <f>F498*G498</f>
        <v>75.876999999999995</v>
      </c>
    </row>
    <row r="499" spans="1:10" ht="12.75">
      <c r="A499" s="449"/>
      <c r="B499" s="441"/>
      <c r="C499" s="476"/>
      <c r="D499" s="451" t="s">
        <v>696</v>
      </c>
      <c r="E499" s="470"/>
      <c r="F499" s="61"/>
      <c r="G499" s="58"/>
      <c r="H499" s="59">
        <f>SUM(H496:H498)</f>
        <v>36.1</v>
      </c>
      <c r="I499" s="59">
        <f>SUM(I496:I498)</f>
        <v>137.88499999999999</v>
      </c>
      <c r="J499" s="60">
        <f>SUM(J496:J498)</f>
        <v>173.98500000000001</v>
      </c>
    </row>
    <row r="500" spans="1:10" ht="12.75">
      <c r="A500" s="469"/>
      <c r="B500" s="1027"/>
      <c r="C500" s="1028"/>
      <c r="D500" s="1028"/>
      <c r="E500" s="457"/>
      <c r="F500" s="457"/>
      <c r="G500" s="457"/>
      <c r="H500" s="457"/>
      <c r="I500" s="457"/>
      <c r="J500" s="458"/>
    </row>
    <row r="501" spans="1:10" ht="12.75">
      <c r="A501" s="401"/>
      <c r="B501" s="401"/>
      <c r="C501" s="401"/>
      <c r="D501" s="401"/>
      <c r="E501" s="63"/>
      <c r="F501" s="63"/>
      <c r="G501" s="63"/>
      <c r="H501" s="63"/>
      <c r="I501" s="63"/>
      <c r="J501" s="63"/>
    </row>
    <row r="502" spans="1:10" ht="63.75">
      <c r="A502" s="372" t="s">
        <v>697</v>
      </c>
      <c r="B502" s="372"/>
      <c r="C502" s="373" t="s">
        <v>1402</v>
      </c>
      <c r="D502" s="464" t="s">
        <v>1619</v>
      </c>
      <c r="E502" s="376" t="s">
        <v>411</v>
      </c>
      <c r="F502" s="376" t="s">
        <v>692</v>
      </c>
      <c r="G502" s="376" t="s">
        <v>693</v>
      </c>
      <c r="H502" s="376" t="s">
        <v>694</v>
      </c>
      <c r="I502" s="376" t="s">
        <v>695</v>
      </c>
      <c r="J502" s="376" t="s">
        <v>696</v>
      </c>
    </row>
    <row r="503" spans="1:10" ht="25.5">
      <c r="A503" s="377" t="s">
        <v>699</v>
      </c>
      <c r="B503" s="379" t="s">
        <v>409</v>
      </c>
      <c r="C503" s="377" t="s">
        <v>1597</v>
      </c>
      <c r="D503" s="477" t="s">
        <v>1598</v>
      </c>
      <c r="E503" s="411" t="s">
        <v>737</v>
      </c>
      <c r="F503" s="500">
        <v>1</v>
      </c>
      <c r="G503" s="397">
        <v>7900</v>
      </c>
      <c r="H503" s="397">
        <f>F503*G503</f>
        <v>7900</v>
      </c>
      <c r="I503" s="395"/>
      <c r="J503" s="397">
        <f>SUM(H503:I503)</f>
        <v>7900</v>
      </c>
    </row>
    <row r="504" spans="1:10" ht="12.75">
      <c r="A504" s="377" t="s">
        <v>698</v>
      </c>
      <c r="B504" s="392" t="s">
        <v>406</v>
      </c>
      <c r="C504" s="392">
        <v>88247</v>
      </c>
      <c r="D504" s="447" t="s">
        <v>746</v>
      </c>
      <c r="E504" s="432" t="s">
        <v>740</v>
      </c>
      <c r="F504" s="608">
        <v>5</v>
      </c>
      <c r="G504" s="479">
        <v>26.96</v>
      </c>
      <c r="H504" s="395"/>
      <c r="I504" s="395">
        <f>F504*G504</f>
        <v>134.80000000000001</v>
      </c>
      <c r="J504" s="397">
        <f t="shared" ref="J504:J505" si="45">SUM(H504:I504)</f>
        <v>134.80000000000001</v>
      </c>
    </row>
    <row r="505" spans="1:10" ht="12.75">
      <c r="A505" s="377" t="s">
        <v>698</v>
      </c>
      <c r="B505" s="392" t="s">
        <v>406</v>
      </c>
      <c r="C505" s="392" t="s">
        <v>413</v>
      </c>
      <c r="D505" s="447" t="s">
        <v>747</v>
      </c>
      <c r="E505" s="432" t="s">
        <v>740</v>
      </c>
      <c r="F505" s="608">
        <v>5</v>
      </c>
      <c r="G505" s="407">
        <v>32.99</v>
      </c>
      <c r="H505" s="395"/>
      <c r="I505" s="395">
        <f>F505*G505</f>
        <v>164.95000000000002</v>
      </c>
      <c r="J505" s="397">
        <f t="shared" si="45"/>
        <v>164.95000000000002</v>
      </c>
    </row>
    <row r="506" spans="1:10" ht="12.75">
      <c r="A506" s="449"/>
      <c r="B506" s="449"/>
      <c r="C506" s="450"/>
      <c r="D506" s="451" t="s">
        <v>696</v>
      </c>
      <c r="E506" s="452"/>
      <c r="F506" s="453"/>
      <c r="G506" s="454"/>
      <c r="H506" s="455">
        <f>SUM(H503:H505)</f>
        <v>7900</v>
      </c>
      <c r="I506" s="455">
        <f>SUM(I503:I505)</f>
        <v>299.75</v>
      </c>
      <c r="J506" s="386">
        <f>SUM(H506:I506)</f>
        <v>8199.75</v>
      </c>
    </row>
    <row r="507" spans="1:10" ht="12.75">
      <c r="A507" s="384" t="s">
        <v>1052</v>
      </c>
      <c r="B507" s="1029" t="s">
        <v>1595</v>
      </c>
      <c r="C507" s="1030"/>
      <c r="D507" s="1030"/>
      <c r="E507" s="409"/>
      <c r="F507" s="409"/>
      <c r="G507" s="409"/>
      <c r="H507" s="409"/>
      <c r="I507" s="409"/>
      <c r="J507" s="410"/>
    </row>
    <row r="508" spans="1:10" ht="12.75">
      <c r="A508" s="401"/>
      <c r="B508" s="401"/>
      <c r="C508" s="401"/>
      <c r="D508" s="401"/>
      <c r="E508" s="63"/>
      <c r="F508" s="63"/>
      <c r="G508" s="63"/>
      <c r="H508" s="63"/>
      <c r="I508" s="63"/>
      <c r="J508" s="63"/>
    </row>
    <row r="509" spans="1:10" ht="63.75">
      <c r="A509" s="372" t="s">
        <v>697</v>
      </c>
      <c r="B509" s="372"/>
      <c r="C509" s="373" t="s">
        <v>1403</v>
      </c>
      <c r="D509" s="464" t="s">
        <v>1617</v>
      </c>
      <c r="E509" s="376" t="s">
        <v>411</v>
      </c>
      <c r="F509" s="376" t="s">
        <v>692</v>
      </c>
      <c r="G509" s="376" t="s">
        <v>693</v>
      </c>
      <c r="H509" s="376" t="s">
        <v>694</v>
      </c>
      <c r="I509" s="376" t="s">
        <v>695</v>
      </c>
      <c r="J509" s="376" t="s">
        <v>696</v>
      </c>
    </row>
    <row r="510" spans="1:10" ht="25.5">
      <c r="A510" s="377" t="s">
        <v>699</v>
      </c>
      <c r="B510" s="379" t="s">
        <v>409</v>
      </c>
      <c r="C510" s="377" t="s">
        <v>1597</v>
      </c>
      <c r="D510" s="477" t="s">
        <v>1598</v>
      </c>
      <c r="E510" s="411" t="s">
        <v>737</v>
      </c>
      <c r="F510" s="500">
        <v>1</v>
      </c>
      <c r="G510" s="397">
        <v>6500</v>
      </c>
      <c r="H510" s="397">
        <f>F510*G510</f>
        <v>6500</v>
      </c>
      <c r="I510" s="395"/>
      <c r="J510" s="397">
        <f>SUM(H510:I510)</f>
        <v>6500</v>
      </c>
    </row>
    <row r="511" spans="1:10" ht="12.75">
      <c r="A511" s="377" t="s">
        <v>698</v>
      </c>
      <c r="B511" s="392" t="s">
        <v>406</v>
      </c>
      <c r="C511" s="392">
        <v>88247</v>
      </c>
      <c r="D511" s="447" t="s">
        <v>746</v>
      </c>
      <c r="E511" s="411" t="s">
        <v>1318</v>
      </c>
      <c r="F511" s="608">
        <v>4</v>
      </c>
      <c r="G511" s="479">
        <v>26.96</v>
      </c>
      <c r="H511" s="395"/>
      <c r="I511" s="395">
        <f>F511*G511</f>
        <v>107.84</v>
      </c>
      <c r="J511" s="397">
        <f t="shared" ref="J511:J512" si="46">SUM(H511:I511)</f>
        <v>107.84</v>
      </c>
    </row>
    <row r="512" spans="1:10" ht="12.75">
      <c r="A512" s="377" t="s">
        <v>698</v>
      </c>
      <c r="B512" s="392" t="s">
        <v>406</v>
      </c>
      <c r="C512" s="392" t="s">
        <v>413</v>
      </c>
      <c r="D512" s="447" t="s">
        <v>747</v>
      </c>
      <c r="E512" s="411" t="s">
        <v>1318</v>
      </c>
      <c r="F512" s="608">
        <v>4</v>
      </c>
      <c r="G512" s="407">
        <v>32.99</v>
      </c>
      <c r="H512" s="395"/>
      <c r="I512" s="395">
        <f>F512*G512</f>
        <v>131.96</v>
      </c>
      <c r="J512" s="397">
        <f t="shared" si="46"/>
        <v>131.96</v>
      </c>
    </row>
    <row r="513" spans="1:10" ht="12.75">
      <c r="A513" s="449"/>
      <c r="B513" s="449"/>
      <c r="C513" s="450"/>
      <c r="D513" s="451" t="s">
        <v>696</v>
      </c>
      <c r="E513" s="452"/>
      <c r="F513" s="453"/>
      <c r="G513" s="454"/>
      <c r="H513" s="455">
        <f>SUM(H510:H512)</f>
        <v>6500</v>
      </c>
      <c r="I513" s="455">
        <f>SUM(I510:I512)</f>
        <v>239.8</v>
      </c>
      <c r="J513" s="386">
        <f>SUM(H513:I513)</f>
        <v>6739.8</v>
      </c>
    </row>
    <row r="514" spans="1:10" ht="12.75">
      <c r="A514" s="384" t="s">
        <v>1052</v>
      </c>
      <c r="B514" s="1029" t="s">
        <v>1596</v>
      </c>
      <c r="C514" s="1030"/>
      <c r="D514" s="1030"/>
      <c r="E514" s="409"/>
      <c r="F514" s="409"/>
      <c r="G514" s="409"/>
      <c r="H514" s="409"/>
      <c r="I514" s="409"/>
      <c r="J514" s="410"/>
    </row>
    <row r="515" spans="1:10" ht="12.75">
      <c r="A515" s="401"/>
      <c r="B515" s="401"/>
      <c r="C515" s="401"/>
      <c r="D515" s="401"/>
      <c r="E515" s="63"/>
      <c r="F515" s="63"/>
      <c r="G515" s="63"/>
      <c r="H515" s="63"/>
      <c r="I515" s="63"/>
      <c r="J515" s="63"/>
    </row>
    <row r="516" spans="1:10" ht="63.75">
      <c r="A516" s="372" t="s">
        <v>697</v>
      </c>
      <c r="B516" s="372"/>
      <c r="C516" s="373" t="s">
        <v>1404</v>
      </c>
      <c r="D516" s="464" t="s">
        <v>1620</v>
      </c>
      <c r="E516" s="376" t="s">
        <v>411</v>
      </c>
      <c r="F516" s="376" t="s">
        <v>692</v>
      </c>
      <c r="G516" s="376" t="s">
        <v>693</v>
      </c>
      <c r="H516" s="376" t="s">
        <v>694</v>
      </c>
      <c r="I516" s="376" t="s">
        <v>695</v>
      </c>
      <c r="J516" s="376" t="s">
        <v>696</v>
      </c>
    </row>
    <row r="517" spans="1:10" ht="25.5">
      <c r="A517" s="377" t="s">
        <v>699</v>
      </c>
      <c r="B517" s="379" t="s">
        <v>409</v>
      </c>
      <c r="C517" s="377" t="s">
        <v>1597</v>
      </c>
      <c r="D517" s="477" t="s">
        <v>1598</v>
      </c>
      <c r="E517" s="411" t="s">
        <v>737</v>
      </c>
      <c r="F517" s="500">
        <v>1</v>
      </c>
      <c r="G517" s="397">
        <v>3500</v>
      </c>
      <c r="H517" s="397">
        <f>F517*G517</f>
        <v>3500</v>
      </c>
      <c r="I517" s="395"/>
      <c r="J517" s="397">
        <f>SUM(H517:I517)</f>
        <v>3500</v>
      </c>
    </row>
    <row r="518" spans="1:10" ht="12.75">
      <c r="A518" s="377" t="s">
        <v>698</v>
      </c>
      <c r="B518" s="392" t="s">
        <v>406</v>
      </c>
      <c r="C518" s="392">
        <v>88247</v>
      </c>
      <c r="D518" s="447" t="s">
        <v>746</v>
      </c>
      <c r="E518" s="411" t="s">
        <v>1318</v>
      </c>
      <c r="F518" s="608">
        <v>4</v>
      </c>
      <c r="G518" s="479">
        <v>26.96</v>
      </c>
      <c r="H518" s="395"/>
      <c r="I518" s="395">
        <f>F518*G518</f>
        <v>107.84</v>
      </c>
      <c r="J518" s="397">
        <f t="shared" ref="J518:J519" si="47">SUM(H518:I518)</f>
        <v>107.84</v>
      </c>
    </row>
    <row r="519" spans="1:10" ht="12.75">
      <c r="A519" s="377" t="s">
        <v>698</v>
      </c>
      <c r="B519" s="392" t="s">
        <v>406</v>
      </c>
      <c r="C519" s="441">
        <v>88264</v>
      </c>
      <c r="D519" s="447" t="s">
        <v>747</v>
      </c>
      <c r="E519" s="411" t="s">
        <v>1318</v>
      </c>
      <c r="F519" s="608">
        <v>4</v>
      </c>
      <c r="G519" s="407">
        <v>32.99</v>
      </c>
      <c r="H519" s="395"/>
      <c r="I519" s="395">
        <f>F519*G519</f>
        <v>131.96</v>
      </c>
      <c r="J519" s="397">
        <f t="shared" si="47"/>
        <v>131.96</v>
      </c>
    </row>
    <row r="520" spans="1:10" ht="12.75">
      <c r="A520" s="449"/>
      <c r="B520" s="449"/>
      <c r="C520" s="450"/>
      <c r="D520" s="451" t="s">
        <v>696</v>
      </c>
      <c r="E520" s="452"/>
      <c r="F520" s="453"/>
      <c r="G520" s="454"/>
      <c r="H520" s="455">
        <f>SUM(H517:H519)</f>
        <v>3500</v>
      </c>
      <c r="I520" s="455">
        <f>SUM(I517:I519)</f>
        <v>239.8</v>
      </c>
      <c r="J520" s="386">
        <f>SUM(H520:I520)</f>
        <v>3739.8</v>
      </c>
    </row>
    <row r="521" spans="1:10" ht="12.75">
      <c r="A521" s="384" t="s">
        <v>1052</v>
      </c>
      <c r="B521" s="1029" t="s">
        <v>1596</v>
      </c>
      <c r="C521" s="1030"/>
      <c r="D521" s="1030"/>
      <c r="E521" s="409"/>
      <c r="F521" s="409"/>
      <c r="G521" s="409"/>
      <c r="H521" s="409"/>
      <c r="I521" s="409"/>
      <c r="J521" s="410"/>
    </row>
    <row r="522" spans="1:10" ht="12.75">
      <c r="A522" s="401"/>
      <c r="B522" s="401"/>
      <c r="C522" s="401"/>
      <c r="D522" s="401"/>
      <c r="E522" s="63"/>
      <c r="F522" s="63"/>
      <c r="G522" s="63"/>
      <c r="H522" s="63"/>
      <c r="I522" s="63"/>
      <c r="J522" s="63"/>
    </row>
    <row r="523" spans="1:10" ht="12.75">
      <c r="A523" s="463" t="s">
        <v>697</v>
      </c>
      <c r="B523" s="440"/>
      <c r="C523" s="438" t="s">
        <v>1405</v>
      </c>
      <c r="D523" s="464" t="s">
        <v>815</v>
      </c>
      <c r="E523" s="376" t="s">
        <v>411</v>
      </c>
      <c r="F523" s="376" t="s">
        <v>692</v>
      </c>
      <c r="G523" s="376" t="s">
        <v>693</v>
      </c>
      <c r="H523" s="376" t="s">
        <v>694</v>
      </c>
      <c r="I523" s="376" t="s">
        <v>695</v>
      </c>
      <c r="J523" s="376" t="s">
        <v>696</v>
      </c>
    </row>
    <row r="524" spans="1:10" ht="12.75">
      <c r="A524" s="446" t="s">
        <v>698</v>
      </c>
      <c r="B524" s="465" t="s">
        <v>409</v>
      </c>
      <c r="C524" s="478">
        <v>39465</v>
      </c>
      <c r="D524" s="477" t="s">
        <v>815</v>
      </c>
      <c r="E524" s="411" t="s">
        <v>737</v>
      </c>
      <c r="F524" s="62">
        <v>1</v>
      </c>
      <c r="G524" s="149">
        <v>62.97</v>
      </c>
      <c r="H524" s="52">
        <f>F524*G524</f>
        <v>62.97</v>
      </c>
      <c r="I524" s="496"/>
      <c r="J524" s="54">
        <f>F524*G524</f>
        <v>62.97</v>
      </c>
    </row>
    <row r="525" spans="1:10" ht="12.75">
      <c r="A525" s="446" t="s">
        <v>698</v>
      </c>
      <c r="B525" s="465" t="s">
        <v>409</v>
      </c>
      <c r="C525" s="478">
        <v>1571</v>
      </c>
      <c r="D525" s="447" t="s">
        <v>1406</v>
      </c>
      <c r="E525" s="411" t="s">
        <v>737</v>
      </c>
      <c r="F525" s="62">
        <v>1</v>
      </c>
      <c r="G525" s="149">
        <v>1.34</v>
      </c>
      <c r="H525" s="52">
        <f>F525*G525</f>
        <v>1.34</v>
      </c>
      <c r="I525" s="53"/>
      <c r="J525" s="54">
        <f>F525*G525</f>
        <v>1.34</v>
      </c>
    </row>
    <row r="526" spans="1:10" ht="12.75">
      <c r="A526" s="446" t="s">
        <v>698</v>
      </c>
      <c r="B526" s="465" t="s">
        <v>406</v>
      </c>
      <c r="C526" s="441">
        <v>88247</v>
      </c>
      <c r="D526" s="447" t="s">
        <v>746</v>
      </c>
      <c r="E526" s="432" t="s">
        <v>740</v>
      </c>
      <c r="F526" s="113">
        <v>6.6299999999999998E-2</v>
      </c>
      <c r="G526" s="479">
        <v>26.96</v>
      </c>
      <c r="H526" s="55"/>
      <c r="I526" s="56">
        <f>F526*G526</f>
        <v>1.7874479999999999</v>
      </c>
      <c r="J526" s="57">
        <f>F526*G526</f>
        <v>1.7874479999999999</v>
      </c>
    </row>
    <row r="527" spans="1:10" ht="12.75">
      <c r="A527" s="446" t="s">
        <v>698</v>
      </c>
      <c r="B527" s="465" t="s">
        <v>406</v>
      </c>
      <c r="C527" s="441">
        <v>88264</v>
      </c>
      <c r="D527" s="447" t="s">
        <v>747</v>
      </c>
      <c r="E527" s="432" t="s">
        <v>740</v>
      </c>
      <c r="F527" s="113">
        <v>6.6299999999999998E-2</v>
      </c>
      <c r="G527" s="407">
        <v>32.99</v>
      </c>
      <c r="H527" s="55"/>
      <c r="I527" s="56">
        <f>F527*G527</f>
        <v>2.1872370000000001</v>
      </c>
      <c r="J527" s="57">
        <f>F527*G527</f>
        <v>2.1872370000000001</v>
      </c>
    </row>
    <row r="528" spans="1:10" ht="12.75">
      <c r="A528" s="449"/>
      <c r="B528" s="469"/>
      <c r="C528" s="450"/>
      <c r="D528" s="451" t="s">
        <v>696</v>
      </c>
      <c r="E528" s="470"/>
      <c r="F528" s="61"/>
      <c r="G528" s="58"/>
      <c r="H528" s="59">
        <f>SUM(H524:H527)</f>
        <v>64.31</v>
      </c>
      <c r="I528" s="59">
        <f>SUM(I524:I527)</f>
        <v>3.974685</v>
      </c>
      <c r="J528" s="60">
        <f>SUM(J524:J527)</f>
        <v>68.284684999999996</v>
      </c>
    </row>
    <row r="529" spans="1:10" ht="12.75">
      <c r="A529" s="401"/>
      <c r="B529" s="401"/>
      <c r="C529" s="401"/>
      <c r="D529" s="401"/>
      <c r="E529" s="63"/>
      <c r="F529" s="63"/>
      <c r="G529" s="63"/>
      <c r="H529" s="63"/>
      <c r="I529" s="63"/>
      <c r="J529" s="63"/>
    </row>
    <row r="530" spans="1:10" ht="25.5">
      <c r="A530" s="463" t="s">
        <v>697</v>
      </c>
      <c r="B530" s="463"/>
      <c r="C530" s="438" t="s">
        <v>1407</v>
      </c>
      <c r="D530" s="497" t="s">
        <v>146</v>
      </c>
      <c r="E530" s="440" t="s">
        <v>405</v>
      </c>
      <c r="F530" s="376" t="s">
        <v>692</v>
      </c>
      <c r="G530" s="376" t="s">
        <v>693</v>
      </c>
      <c r="H530" s="376" t="s">
        <v>694</v>
      </c>
      <c r="I530" s="376" t="s">
        <v>695</v>
      </c>
      <c r="J530" s="376" t="s">
        <v>696</v>
      </c>
    </row>
    <row r="531" spans="1:10" ht="12.75">
      <c r="A531" s="446" t="s">
        <v>819</v>
      </c>
      <c r="B531" s="432" t="s">
        <v>409</v>
      </c>
      <c r="C531" s="478">
        <v>12527</v>
      </c>
      <c r="D531" s="401" t="s">
        <v>1433</v>
      </c>
      <c r="E531" s="55" t="s">
        <v>13</v>
      </c>
      <c r="F531" s="62">
        <v>1.02</v>
      </c>
      <c r="G531" s="149">
        <v>12.73</v>
      </c>
      <c r="H531" s="52">
        <f>F531*G531</f>
        <v>12.9846</v>
      </c>
      <c r="I531" s="53"/>
      <c r="J531" s="54">
        <f>F531*G531</f>
        <v>12.9846</v>
      </c>
    </row>
    <row r="532" spans="1:10" ht="12.75">
      <c r="A532" s="446" t="s">
        <v>698</v>
      </c>
      <c r="B532" s="432" t="s">
        <v>406</v>
      </c>
      <c r="C532" s="441">
        <v>88247</v>
      </c>
      <c r="D532" s="447" t="s">
        <v>746</v>
      </c>
      <c r="E532" s="432" t="s">
        <v>740</v>
      </c>
      <c r="F532" s="64">
        <v>0.05</v>
      </c>
      <c r="G532" s="479">
        <v>26.96</v>
      </c>
      <c r="H532" s="55"/>
      <c r="I532" s="56">
        <f>F532*G532</f>
        <v>1.3480000000000001</v>
      </c>
      <c r="J532" s="57">
        <f>F532*G532</f>
        <v>1.3480000000000001</v>
      </c>
    </row>
    <row r="533" spans="1:10" ht="12.75">
      <c r="A533" s="446" t="s">
        <v>698</v>
      </c>
      <c r="B533" s="432" t="s">
        <v>406</v>
      </c>
      <c r="C533" s="441">
        <v>88264</v>
      </c>
      <c r="D533" s="447" t="s">
        <v>747</v>
      </c>
      <c r="E533" s="432" t="s">
        <v>740</v>
      </c>
      <c r="F533" s="64">
        <v>0.05</v>
      </c>
      <c r="G533" s="407">
        <v>32.99</v>
      </c>
      <c r="H533" s="55"/>
      <c r="I533" s="56">
        <f>F533*G533</f>
        <v>1.6495000000000002</v>
      </c>
      <c r="J533" s="57">
        <f>F533*G533</f>
        <v>1.6495000000000002</v>
      </c>
    </row>
    <row r="534" spans="1:10" ht="12.75">
      <c r="A534" s="449"/>
      <c r="B534" s="469"/>
      <c r="C534" s="450"/>
      <c r="D534" s="451" t="s">
        <v>696</v>
      </c>
      <c r="E534" s="470"/>
      <c r="F534" s="61"/>
      <c r="G534" s="58"/>
      <c r="H534" s="59">
        <f>SUM(H531:H533)</f>
        <v>12.9846</v>
      </c>
      <c r="I534" s="59">
        <f>SUM(I531:I533)</f>
        <v>2.9975000000000005</v>
      </c>
      <c r="J534" s="60">
        <f>SUM(J531:J533)</f>
        <v>15.982100000000001</v>
      </c>
    </row>
    <row r="535" spans="1:10" ht="12.75">
      <c r="A535" s="469" t="s">
        <v>1052</v>
      </c>
      <c r="B535" s="1027" t="s">
        <v>1282</v>
      </c>
      <c r="C535" s="1028"/>
      <c r="D535" s="1028"/>
      <c r="E535" s="457"/>
      <c r="F535" s="457"/>
      <c r="G535" s="457"/>
      <c r="H535" s="457"/>
      <c r="I535" s="457"/>
      <c r="J535" s="458"/>
    </row>
    <row r="536" spans="1:10" ht="12.75">
      <c r="A536" s="401"/>
      <c r="B536" s="401"/>
      <c r="C536" s="401"/>
      <c r="D536" s="401"/>
      <c r="E536" s="63"/>
      <c r="F536" s="63"/>
      <c r="G536" s="63"/>
      <c r="H536" s="63"/>
      <c r="I536" s="63"/>
      <c r="J536" s="63"/>
    </row>
    <row r="537" spans="1:10" ht="25.5">
      <c r="A537" s="463" t="s">
        <v>697</v>
      </c>
      <c r="B537" s="463"/>
      <c r="C537" s="438" t="s">
        <v>1408</v>
      </c>
      <c r="D537" s="498" t="s">
        <v>170</v>
      </c>
      <c r="E537" s="440" t="s">
        <v>405</v>
      </c>
      <c r="F537" s="376" t="s">
        <v>692</v>
      </c>
      <c r="G537" s="376" t="s">
        <v>693</v>
      </c>
      <c r="H537" s="376" t="s">
        <v>694</v>
      </c>
      <c r="I537" s="376" t="s">
        <v>695</v>
      </c>
      <c r="J537" s="376" t="s">
        <v>696</v>
      </c>
    </row>
    <row r="538" spans="1:10" ht="12.75">
      <c r="A538" s="446" t="s">
        <v>819</v>
      </c>
      <c r="B538" s="432" t="s">
        <v>409</v>
      </c>
      <c r="C538" s="478">
        <v>609</v>
      </c>
      <c r="D538" s="401" t="s">
        <v>1432</v>
      </c>
      <c r="E538" s="55" t="s">
        <v>13</v>
      </c>
      <c r="F538" s="62">
        <v>1.02</v>
      </c>
      <c r="G538" s="149">
        <v>3.39</v>
      </c>
      <c r="H538" s="52">
        <f>F538*G538</f>
        <v>3.4578000000000002</v>
      </c>
      <c r="I538" s="53"/>
      <c r="J538" s="54">
        <f>F538*G538</f>
        <v>3.4578000000000002</v>
      </c>
    </row>
    <row r="539" spans="1:10" ht="12.75">
      <c r="A539" s="446" t="s">
        <v>698</v>
      </c>
      <c r="B539" s="432" t="s">
        <v>406</v>
      </c>
      <c r="C539" s="441">
        <v>88247</v>
      </c>
      <c r="D539" s="447" t="s">
        <v>746</v>
      </c>
      <c r="E539" s="432" t="s">
        <v>740</v>
      </c>
      <c r="F539" s="64">
        <v>0.03</v>
      </c>
      <c r="G539" s="479">
        <v>26.96</v>
      </c>
      <c r="H539" s="55"/>
      <c r="I539" s="56">
        <f>F539*G539</f>
        <v>0.80879999999999996</v>
      </c>
      <c r="J539" s="57">
        <f>F539*G539</f>
        <v>0.80879999999999996</v>
      </c>
    </row>
    <row r="540" spans="1:10" ht="12.75">
      <c r="A540" s="446" t="s">
        <v>698</v>
      </c>
      <c r="B540" s="432" t="s">
        <v>406</v>
      </c>
      <c r="C540" s="441">
        <v>88264</v>
      </c>
      <c r="D540" s="447" t="s">
        <v>747</v>
      </c>
      <c r="E540" s="432" t="s">
        <v>740</v>
      </c>
      <c r="F540" s="64">
        <v>0.03</v>
      </c>
      <c r="G540" s="407">
        <v>32.99</v>
      </c>
      <c r="H540" s="55"/>
      <c r="I540" s="56">
        <f>F540*G540</f>
        <v>0.98970000000000002</v>
      </c>
      <c r="J540" s="57">
        <f>F540*G540</f>
        <v>0.98970000000000002</v>
      </c>
    </row>
    <row r="541" spans="1:10" ht="12.75">
      <c r="A541" s="449"/>
      <c r="B541" s="469"/>
      <c r="C541" s="450"/>
      <c r="D541" s="451" t="s">
        <v>696</v>
      </c>
      <c r="E541" s="470"/>
      <c r="F541" s="61"/>
      <c r="G541" s="58"/>
      <c r="H541" s="59">
        <f>SUM(H538:H540)</f>
        <v>3.4578000000000002</v>
      </c>
      <c r="I541" s="59">
        <f>SUM(I538:I540)</f>
        <v>1.7985</v>
      </c>
      <c r="J541" s="60">
        <f>SUM(J538:J540)</f>
        <v>5.2563000000000004</v>
      </c>
    </row>
    <row r="542" spans="1:10" ht="12.75">
      <c r="A542" s="469" t="s">
        <v>1052</v>
      </c>
      <c r="B542" s="1027" t="s">
        <v>1282</v>
      </c>
      <c r="C542" s="1028"/>
      <c r="D542" s="1028"/>
      <c r="E542" s="457"/>
      <c r="F542" s="457"/>
      <c r="G542" s="457"/>
      <c r="H542" s="457"/>
      <c r="I542" s="457"/>
      <c r="J542" s="458"/>
    </row>
    <row r="543" spans="1:10" ht="12.75">
      <c r="A543" s="401"/>
      <c r="B543" s="401"/>
      <c r="C543" s="401"/>
      <c r="D543" s="401"/>
      <c r="E543" s="63"/>
      <c r="F543" s="63"/>
      <c r="G543" s="63"/>
      <c r="H543" s="63"/>
      <c r="I543" s="63"/>
      <c r="J543" s="63"/>
    </row>
    <row r="544" spans="1:10" ht="25.5">
      <c r="A544" s="463" t="s">
        <v>697</v>
      </c>
      <c r="B544" s="440"/>
      <c r="C544" s="438" t="s">
        <v>1409</v>
      </c>
      <c r="D544" s="498" t="s">
        <v>171</v>
      </c>
      <c r="E544" s="440" t="s">
        <v>405</v>
      </c>
      <c r="F544" s="376" t="s">
        <v>692</v>
      </c>
      <c r="G544" s="376" t="s">
        <v>693</v>
      </c>
      <c r="H544" s="376" t="s">
        <v>694</v>
      </c>
      <c r="I544" s="376" t="s">
        <v>695</v>
      </c>
      <c r="J544" s="376" t="s">
        <v>696</v>
      </c>
    </row>
    <row r="545" spans="1:10" ht="12.75">
      <c r="A545" s="446" t="s">
        <v>819</v>
      </c>
      <c r="B545" s="432" t="s">
        <v>409</v>
      </c>
      <c r="C545" s="478">
        <v>5003</v>
      </c>
      <c r="D545" s="401" t="s">
        <v>1431</v>
      </c>
      <c r="E545" s="55" t="s">
        <v>13</v>
      </c>
      <c r="F545" s="62">
        <v>1.02</v>
      </c>
      <c r="G545" s="149">
        <v>5.39</v>
      </c>
      <c r="H545" s="52">
        <f>F545*G545</f>
        <v>5.4977999999999998</v>
      </c>
      <c r="I545" s="53"/>
      <c r="J545" s="54">
        <f>F545*G545</f>
        <v>5.4977999999999998</v>
      </c>
    </row>
    <row r="546" spans="1:10" ht="12.75">
      <c r="A546" s="446" t="s">
        <v>698</v>
      </c>
      <c r="B546" s="432" t="s">
        <v>406</v>
      </c>
      <c r="C546" s="441">
        <v>88247</v>
      </c>
      <c r="D546" s="447" t="s">
        <v>746</v>
      </c>
      <c r="E546" s="432" t="s">
        <v>740</v>
      </c>
      <c r="F546" s="64">
        <v>0.03</v>
      </c>
      <c r="G546" s="479">
        <v>26.96</v>
      </c>
      <c r="H546" s="55"/>
      <c r="I546" s="56">
        <f>F546*G546</f>
        <v>0.80879999999999996</v>
      </c>
      <c r="J546" s="57">
        <f>F546*G546</f>
        <v>0.80879999999999996</v>
      </c>
    </row>
    <row r="547" spans="1:10" ht="12.75">
      <c r="A547" s="446" t="s">
        <v>698</v>
      </c>
      <c r="B547" s="432" t="s">
        <v>406</v>
      </c>
      <c r="C547" s="441">
        <v>88264</v>
      </c>
      <c r="D547" s="447" t="s">
        <v>747</v>
      </c>
      <c r="E547" s="432" t="s">
        <v>740</v>
      </c>
      <c r="F547" s="64">
        <v>0.03</v>
      </c>
      <c r="G547" s="407">
        <v>32.99</v>
      </c>
      <c r="H547" s="55"/>
      <c r="I547" s="56">
        <f>F547*G547</f>
        <v>0.98970000000000002</v>
      </c>
      <c r="J547" s="57">
        <f>F547*G547</f>
        <v>0.98970000000000002</v>
      </c>
    </row>
    <row r="548" spans="1:10" ht="12.75">
      <c r="A548" s="449"/>
      <c r="B548" s="469"/>
      <c r="C548" s="450"/>
      <c r="D548" s="451" t="s">
        <v>696</v>
      </c>
      <c r="E548" s="470"/>
      <c r="F548" s="61"/>
      <c r="G548" s="58"/>
      <c r="H548" s="59">
        <f>SUM(H545:H547)</f>
        <v>5.4977999999999998</v>
      </c>
      <c r="I548" s="59">
        <f>SUM(I545:I547)</f>
        <v>1.7985</v>
      </c>
      <c r="J548" s="60">
        <f>SUM(J545:J547)</f>
        <v>7.2962999999999996</v>
      </c>
    </row>
    <row r="549" spans="1:10" ht="12.75">
      <c r="A549" s="469" t="s">
        <v>1052</v>
      </c>
      <c r="B549" s="1027" t="s">
        <v>1282</v>
      </c>
      <c r="C549" s="1028"/>
      <c r="D549" s="1028"/>
      <c r="E549" s="457"/>
      <c r="F549" s="457"/>
      <c r="G549" s="457"/>
      <c r="H549" s="457"/>
      <c r="I549" s="457"/>
      <c r="J549" s="458"/>
    </row>
    <row r="550" spans="1:10" ht="12.75">
      <c r="A550" s="401"/>
      <c r="B550" s="401"/>
      <c r="C550" s="401"/>
      <c r="D550" s="401"/>
      <c r="E550" s="63"/>
      <c r="F550" s="63"/>
      <c r="G550" s="63"/>
      <c r="H550" s="63"/>
      <c r="I550" s="63"/>
      <c r="J550" s="63"/>
    </row>
    <row r="551" spans="1:10" ht="38.25">
      <c r="A551" s="463" t="s">
        <v>697</v>
      </c>
      <c r="B551" s="440"/>
      <c r="C551" s="438" t="s">
        <v>1410</v>
      </c>
      <c r="D551" s="497" t="s">
        <v>172</v>
      </c>
      <c r="E551" s="440" t="s">
        <v>405</v>
      </c>
      <c r="F551" s="376" t="s">
        <v>692</v>
      </c>
      <c r="G551" s="376" t="s">
        <v>693</v>
      </c>
      <c r="H551" s="376" t="s">
        <v>694</v>
      </c>
      <c r="I551" s="376" t="s">
        <v>695</v>
      </c>
      <c r="J551" s="376" t="s">
        <v>696</v>
      </c>
    </row>
    <row r="552" spans="1:10" ht="12.75">
      <c r="A552" s="446" t="s">
        <v>819</v>
      </c>
      <c r="B552" s="432" t="s">
        <v>409</v>
      </c>
      <c r="C552" s="478">
        <v>12824</v>
      </c>
      <c r="D552" s="401" t="s">
        <v>1283</v>
      </c>
      <c r="E552" s="55" t="s">
        <v>13</v>
      </c>
      <c r="F552" s="62">
        <v>1.1000000000000001</v>
      </c>
      <c r="G552" s="149">
        <v>4.6100000000000003</v>
      </c>
      <c r="H552" s="52">
        <f>F552*G552</f>
        <v>5.0710000000000006</v>
      </c>
      <c r="I552" s="53"/>
      <c r="J552" s="54">
        <f>F552*G552</f>
        <v>5.0710000000000006</v>
      </c>
    </row>
    <row r="553" spans="1:10" ht="12.75">
      <c r="A553" s="446" t="s">
        <v>698</v>
      </c>
      <c r="B553" s="432" t="s">
        <v>406</v>
      </c>
      <c r="C553" s="441">
        <v>88247</v>
      </c>
      <c r="D553" s="447" t="s">
        <v>746</v>
      </c>
      <c r="E553" s="432" t="s">
        <v>740</v>
      </c>
      <c r="F553" s="111">
        <v>0.03</v>
      </c>
      <c r="G553" s="479">
        <v>26.96</v>
      </c>
      <c r="H553" s="55"/>
      <c r="I553" s="56">
        <f>F553*G553</f>
        <v>0.80879999999999996</v>
      </c>
      <c r="J553" s="57">
        <f>F553*G553</f>
        <v>0.80879999999999996</v>
      </c>
    </row>
    <row r="554" spans="1:10" ht="12.75">
      <c r="A554" s="446" t="s">
        <v>698</v>
      </c>
      <c r="B554" s="432" t="s">
        <v>406</v>
      </c>
      <c r="C554" s="441">
        <v>88264</v>
      </c>
      <c r="D554" s="447" t="s">
        <v>747</v>
      </c>
      <c r="E554" s="432" t="s">
        <v>740</v>
      </c>
      <c r="F554" s="111">
        <v>0.03</v>
      </c>
      <c r="G554" s="407">
        <v>32.99</v>
      </c>
      <c r="H554" s="55"/>
      <c r="I554" s="56">
        <f>F554*G554</f>
        <v>0.98970000000000002</v>
      </c>
      <c r="J554" s="57">
        <f>F554*G554</f>
        <v>0.98970000000000002</v>
      </c>
    </row>
    <row r="555" spans="1:10" ht="12.75">
      <c r="A555" s="449"/>
      <c r="B555" s="469"/>
      <c r="C555" s="450"/>
      <c r="D555" s="451" t="s">
        <v>696</v>
      </c>
      <c r="E555" s="470"/>
      <c r="F555" s="61"/>
      <c r="G555" s="58"/>
      <c r="H555" s="59">
        <f>SUM(H552:H554)</f>
        <v>5.0710000000000006</v>
      </c>
      <c r="I555" s="59">
        <f>SUM(I552:I554)</f>
        <v>1.7985</v>
      </c>
      <c r="J555" s="60">
        <f>SUM(J552:J554)</f>
        <v>6.8695000000000004</v>
      </c>
    </row>
    <row r="556" spans="1:10" ht="12.75">
      <c r="A556" s="469" t="s">
        <v>1052</v>
      </c>
      <c r="B556" s="1027" t="s">
        <v>1284</v>
      </c>
      <c r="C556" s="1028"/>
      <c r="D556" s="1028"/>
      <c r="E556" s="457"/>
      <c r="F556" s="457"/>
      <c r="G556" s="457"/>
      <c r="H556" s="457"/>
      <c r="I556" s="457"/>
      <c r="J556" s="458"/>
    </row>
    <row r="557" spans="1:10" ht="12.75">
      <c r="A557" s="401"/>
      <c r="B557" s="401"/>
      <c r="C557" s="401"/>
      <c r="D557" s="401"/>
      <c r="E557" s="63"/>
      <c r="F557" s="63"/>
      <c r="G557" s="63"/>
      <c r="H557" s="63"/>
      <c r="I557" s="63"/>
      <c r="J557" s="63"/>
    </row>
    <row r="558" spans="1:10" ht="76.5">
      <c r="A558" s="372" t="s">
        <v>697</v>
      </c>
      <c r="B558" s="372"/>
      <c r="C558" s="373" t="s">
        <v>1411</v>
      </c>
      <c r="D558" s="574" t="s">
        <v>778</v>
      </c>
      <c r="E558" s="376" t="s">
        <v>411</v>
      </c>
      <c r="F558" s="376" t="s">
        <v>692</v>
      </c>
      <c r="G558" s="376" t="s">
        <v>693</v>
      </c>
      <c r="H558" s="376" t="s">
        <v>694</v>
      </c>
      <c r="I558" s="376" t="s">
        <v>695</v>
      </c>
      <c r="J558" s="376" t="s">
        <v>696</v>
      </c>
    </row>
    <row r="559" spans="1:10" ht="38.25">
      <c r="A559" s="377" t="s">
        <v>699</v>
      </c>
      <c r="B559" s="392" t="s">
        <v>409</v>
      </c>
      <c r="C559" s="392" t="s">
        <v>1457</v>
      </c>
      <c r="D559" s="609" t="s">
        <v>687</v>
      </c>
      <c r="E559" s="411" t="s">
        <v>700</v>
      </c>
      <c r="F559" s="500">
        <v>1</v>
      </c>
      <c r="G559" s="411">
        <v>169.97</v>
      </c>
      <c r="H559" s="397">
        <f>F559*G559</f>
        <v>169.97</v>
      </c>
      <c r="I559" s="395"/>
      <c r="J559" s="397">
        <f>SUM(H559:I559)</f>
        <v>169.97</v>
      </c>
    </row>
    <row r="560" spans="1:10" ht="12.75">
      <c r="A560" s="377" t="s">
        <v>698</v>
      </c>
      <c r="B560" s="392" t="s">
        <v>409</v>
      </c>
      <c r="C560" s="392">
        <v>39386</v>
      </c>
      <c r="D560" s="610" t="s">
        <v>1414</v>
      </c>
      <c r="E560" s="411" t="s">
        <v>700</v>
      </c>
      <c r="F560" s="500">
        <v>4</v>
      </c>
      <c r="G560" s="411">
        <v>10.63</v>
      </c>
      <c r="H560" s="397">
        <f>F560*G560</f>
        <v>42.52</v>
      </c>
      <c r="I560" s="395"/>
      <c r="J560" s="397">
        <f t="shared" ref="J560:J563" si="48">SUM(H560:I560)</f>
        <v>42.52</v>
      </c>
    </row>
    <row r="561" spans="1:10" ht="12.75">
      <c r="A561" s="377" t="s">
        <v>698</v>
      </c>
      <c r="B561" s="392" t="s">
        <v>409</v>
      </c>
      <c r="C561" s="392">
        <v>13329</v>
      </c>
      <c r="D561" s="610" t="s">
        <v>1413</v>
      </c>
      <c r="E561" s="411" t="s">
        <v>700</v>
      </c>
      <c r="F561" s="500">
        <v>8</v>
      </c>
      <c r="G561" s="411">
        <v>3.5</v>
      </c>
      <c r="H561" s="397">
        <f>F561*G561</f>
        <v>28</v>
      </c>
      <c r="I561" s="395"/>
      <c r="J561" s="397">
        <f t="shared" si="48"/>
        <v>28</v>
      </c>
    </row>
    <row r="562" spans="1:10" ht="12.75">
      <c r="A562" s="377" t="s">
        <v>698</v>
      </c>
      <c r="B562" s="392" t="s">
        <v>406</v>
      </c>
      <c r="C562" s="392">
        <v>88247</v>
      </c>
      <c r="D562" s="447" t="s">
        <v>746</v>
      </c>
      <c r="E562" s="432" t="s">
        <v>740</v>
      </c>
      <c r="F562" s="608">
        <v>0.1</v>
      </c>
      <c r="G562" s="479">
        <v>26.96</v>
      </c>
      <c r="H562" s="395"/>
      <c r="I562" s="479">
        <f>F562*G562</f>
        <v>2.6960000000000002</v>
      </c>
      <c r="J562" s="397">
        <f t="shared" si="48"/>
        <v>2.6960000000000002</v>
      </c>
    </row>
    <row r="563" spans="1:10" ht="12.75">
      <c r="A563" s="377" t="s">
        <v>698</v>
      </c>
      <c r="B563" s="392" t="s">
        <v>406</v>
      </c>
      <c r="C563" s="441">
        <v>88264</v>
      </c>
      <c r="D563" s="447" t="s">
        <v>747</v>
      </c>
      <c r="E563" s="432" t="s">
        <v>740</v>
      </c>
      <c r="F563" s="608">
        <v>0.1</v>
      </c>
      <c r="G563" s="407">
        <v>32.99</v>
      </c>
      <c r="H563" s="395"/>
      <c r="I563" s="479">
        <f>F563*G563</f>
        <v>3.2990000000000004</v>
      </c>
      <c r="J563" s="397">
        <f t="shared" si="48"/>
        <v>3.2990000000000004</v>
      </c>
    </row>
    <row r="564" spans="1:10" ht="12.75">
      <c r="A564" s="449"/>
      <c r="B564" s="449"/>
      <c r="C564" s="450"/>
      <c r="D564" s="451" t="s">
        <v>696</v>
      </c>
      <c r="E564" s="452"/>
      <c r="F564" s="453"/>
      <c r="G564" s="454"/>
      <c r="H564" s="455">
        <f>SUM(H559:H563)</f>
        <v>240.49</v>
      </c>
      <c r="I564" s="455">
        <f>SUM(I562:I563)</f>
        <v>5.995000000000001</v>
      </c>
      <c r="J564" s="386">
        <f>SUM(H564:I564)</f>
        <v>246.48500000000001</v>
      </c>
    </row>
    <row r="565" spans="1:10" ht="12.75">
      <c r="A565" s="384" t="s">
        <v>1052</v>
      </c>
      <c r="B565" s="1029" t="s">
        <v>1076</v>
      </c>
      <c r="C565" s="1030"/>
      <c r="D565" s="1030"/>
      <c r="E565" s="409"/>
      <c r="F565" s="409"/>
      <c r="G565" s="409"/>
      <c r="H565" s="409"/>
      <c r="I565" s="409"/>
      <c r="J565" s="410"/>
    </row>
    <row r="566" spans="1:10" ht="12.75">
      <c r="A566" s="524"/>
      <c r="B566" s="459"/>
      <c r="C566" s="459"/>
      <c r="D566" s="459"/>
      <c r="E566" s="460"/>
      <c r="F566" s="460"/>
      <c r="G566" s="460"/>
      <c r="H566" s="460"/>
      <c r="I566" s="460"/>
      <c r="J566" s="461"/>
    </row>
    <row r="567" spans="1:10" ht="12.75">
      <c r="A567" s="401"/>
      <c r="B567" s="401"/>
      <c r="C567" s="401"/>
      <c r="D567" s="401"/>
      <c r="E567" s="63"/>
      <c r="F567" s="63"/>
      <c r="G567" s="63"/>
      <c r="H567" s="63"/>
      <c r="I567" s="63"/>
      <c r="J567" s="63"/>
    </row>
    <row r="568" spans="1:10" ht="51">
      <c r="A568" s="372" t="s">
        <v>697</v>
      </c>
      <c r="B568" s="372"/>
      <c r="C568" s="373" t="s">
        <v>1412</v>
      </c>
      <c r="D568" s="574" t="s">
        <v>2497</v>
      </c>
      <c r="E568" s="376" t="s">
        <v>411</v>
      </c>
      <c r="F568" s="411" t="s">
        <v>692</v>
      </c>
      <c r="G568" s="411" t="s">
        <v>693</v>
      </c>
      <c r="H568" s="411" t="s">
        <v>694</v>
      </c>
      <c r="I568" s="411" t="s">
        <v>695</v>
      </c>
      <c r="J568" s="411" t="s">
        <v>696</v>
      </c>
    </row>
    <row r="569" spans="1:10" ht="51">
      <c r="A569" s="377" t="s">
        <v>698</v>
      </c>
      <c r="B569" s="392" t="s">
        <v>409</v>
      </c>
      <c r="C569" s="392">
        <v>38776</v>
      </c>
      <c r="D569" s="609" t="s">
        <v>179</v>
      </c>
      <c r="E569" s="411" t="s">
        <v>700</v>
      </c>
      <c r="F569" s="500">
        <v>1</v>
      </c>
      <c r="G569" s="411">
        <v>197.38</v>
      </c>
      <c r="H569" s="397">
        <f>F569*G569</f>
        <v>197.38</v>
      </c>
      <c r="I569" s="395"/>
      <c r="J569" s="397">
        <f>SUM(H569:I569)</f>
        <v>197.38</v>
      </c>
    </row>
    <row r="570" spans="1:10" ht="12.75">
      <c r="A570" s="377" t="s">
        <v>698</v>
      </c>
      <c r="B570" s="392" t="s">
        <v>409</v>
      </c>
      <c r="C570" s="392">
        <v>38194</v>
      </c>
      <c r="D570" s="610" t="s">
        <v>1415</v>
      </c>
      <c r="E570" s="411" t="s">
        <v>700</v>
      </c>
      <c r="F570" s="500">
        <v>1</v>
      </c>
      <c r="G570" s="586">
        <v>7.95</v>
      </c>
      <c r="H570" s="397">
        <f>F570*G570</f>
        <v>7.95</v>
      </c>
      <c r="I570" s="395"/>
      <c r="J570" s="397">
        <f t="shared" ref="J570:J573" si="49">SUM(H570:I570)</f>
        <v>7.95</v>
      </c>
    </row>
    <row r="571" spans="1:10" ht="12.75">
      <c r="A571" s="377" t="s">
        <v>698</v>
      </c>
      <c r="B571" s="392" t="s">
        <v>409</v>
      </c>
      <c r="C571" s="392">
        <v>13329</v>
      </c>
      <c r="D571" s="610" t="s">
        <v>1413</v>
      </c>
      <c r="E571" s="411" t="s">
        <v>700</v>
      </c>
      <c r="F571" s="500">
        <v>1</v>
      </c>
      <c r="G571" s="411">
        <v>3.5</v>
      </c>
      <c r="H571" s="397">
        <f>F571*G571</f>
        <v>3.5</v>
      </c>
      <c r="I571" s="395"/>
      <c r="J571" s="397">
        <f t="shared" si="49"/>
        <v>3.5</v>
      </c>
    </row>
    <row r="572" spans="1:10" ht="12.75">
      <c r="A572" s="377" t="s">
        <v>698</v>
      </c>
      <c r="B572" s="392" t="s">
        <v>406</v>
      </c>
      <c r="C572" s="392">
        <v>88247</v>
      </c>
      <c r="D572" s="447" t="s">
        <v>746</v>
      </c>
      <c r="E572" s="432" t="s">
        <v>740</v>
      </c>
      <c r="F572" s="608">
        <v>0.1</v>
      </c>
      <c r="G572" s="479">
        <v>26.96</v>
      </c>
      <c r="H572" s="395"/>
      <c r="I572" s="395">
        <f>F572*G572</f>
        <v>2.6960000000000002</v>
      </c>
      <c r="J572" s="397">
        <f t="shared" si="49"/>
        <v>2.6960000000000002</v>
      </c>
    </row>
    <row r="573" spans="1:10" ht="12.75">
      <c r="A573" s="377" t="s">
        <v>698</v>
      </c>
      <c r="B573" s="392" t="s">
        <v>406</v>
      </c>
      <c r="C573" s="441">
        <v>88264</v>
      </c>
      <c r="D573" s="447" t="s">
        <v>747</v>
      </c>
      <c r="E573" s="432" t="s">
        <v>740</v>
      </c>
      <c r="F573" s="608">
        <v>0.1</v>
      </c>
      <c r="G573" s="407">
        <v>32.99</v>
      </c>
      <c r="H573" s="395"/>
      <c r="I573" s="395">
        <f>F573*G573</f>
        <v>3.2990000000000004</v>
      </c>
      <c r="J573" s="397">
        <f t="shared" si="49"/>
        <v>3.2990000000000004</v>
      </c>
    </row>
    <row r="574" spans="1:10" ht="12.75">
      <c r="A574" s="449"/>
      <c r="B574" s="449"/>
      <c r="C574" s="450"/>
      <c r="D574" s="451" t="s">
        <v>696</v>
      </c>
      <c r="E574" s="452"/>
      <c r="F574" s="453"/>
      <c r="G574" s="454"/>
      <c r="H574" s="455">
        <f>SUM(H569:H573)</f>
        <v>208.82999999999998</v>
      </c>
      <c r="I574" s="455">
        <f>SUM(I572:I573)</f>
        <v>5.995000000000001</v>
      </c>
      <c r="J574" s="386">
        <f>SUM(H574:I574)</f>
        <v>214.82499999999999</v>
      </c>
    </row>
    <row r="575" spans="1:10" ht="12.75">
      <c r="A575" s="384" t="s">
        <v>1052</v>
      </c>
      <c r="B575" s="1029" t="s">
        <v>1077</v>
      </c>
      <c r="C575" s="1030"/>
      <c r="D575" s="1030"/>
      <c r="E575" s="409"/>
      <c r="F575" s="409"/>
      <c r="G575" s="409"/>
      <c r="H575" s="409"/>
      <c r="I575" s="409"/>
      <c r="J575" s="410"/>
    </row>
    <row r="576" spans="1:10" ht="12.75">
      <c r="A576" s="401"/>
      <c r="B576" s="401"/>
      <c r="C576" s="401"/>
      <c r="D576" s="401"/>
      <c r="E576" s="63"/>
      <c r="F576" s="63"/>
      <c r="G576" s="63"/>
      <c r="H576" s="63"/>
      <c r="I576" s="63"/>
      <c r="J576" s="63"/>
    </row>
    <row r="577" spans="1:10" ht="12.75">
      <c r="A577" s="463" t="s">
        <v>697</v>
      </c>
      <c r="B577" s="437"/>
      <c r="C577" s="438" t="s">
        <v>1416</v>
      </c>
      <c r="D577" s="497" t="s">
        <v>1043</v>
      </c>
      <c r="E577" s="440" t="s">
        <v>411</v>
      </c>
      <c r="F577" s="376" t="s">
        <v>692</v>
      </c>
      <c r="G577" s="376" t="s">
        <v>693</v>
      </c>
      <c r="H577" s="376" t="s">
        <v>694</v>
      </c>
      <c r="I577" s="376" t="s">
        <v>695</v>
      </c>
      <c r="J577" s="376" t="s">
        <v>696</v>
      </c>
    </row>
    <row r="578" spans="1:10" ht="12.75">
      <c r="A578" s="446" t="s">
        <v>819</v>
      </c>
      <c r="B578" s="465" t="s">
        <v>409</v>
      </c>
      <c r="C578" s="478">
        <v>203034</v>
      </c>
      <c r="D578" s="499" t="s">
        <v>1417</v>
      </c>
      <c r="E578" s="411" t="s">
        <v>15</v>
      </c>
      <c r="F578" s="62">
        <v>1</v>
      </c>
      <c r="G578" s="149">
        <v>219.09</v>
      </c>
      <c r="H578" s="52">
        <f>F578*G578</f>
        <v>219.09</v>
      </c>
      <c r="I578" s="53"/>
      <c r="J578" s="54">
        <f>F578*G578</f>
        <v>219.09</v>
      </c>
    </row>
    <row r="579" spans="1:10" ht="12.75">
      <c r="A579" s="446" t="s">
        <v>698</v>
      </c>
      <c r="B579" s="465" t="s">
        <v>406</v>
      </c>
      <c r="C579" s="392">
        <v>88247</v>
      </c>
      <c r="D579" s="447" t="s">
        <v>746</v>
      </c>
      <c r="E579" s="432" t="s">
        <v>740</v>
      </c>
      <c r="F579" s="111">
        <v>1</v>
      </c>
      <c r="G579" s="479">
        <v>26.96</v>
      </c>
      <c r="H579" s="55"/>
      <c r="I579" s="56">
        <f>F579*G579</f>
        <v>26.96</v>
      </c>
      <c r="J579" s="57">
        <f>F579*G579</f>
        <v>26.96</v>
      </c>
    </row>
    <row r="580" spans="1:10" ht="12.75">
      <c r="A580" s="446" t="s">
        <v>698</v>
      </c>
      <c r="B580" s="465" t="s">
        <v>406</v>
      </c>
      <c r="C580" s="441">
        <v>88264</v>
      </c>
      <c r="D580" s="447" t="s">
        <v>747</v>
      </c>
      <c r="E580" s="432" t="s">
        <v>740</v>
      </c>
      <c r="F580" s="111">
        <v>1.2</v>
      </c>
      <c r="G580" s="407">
        <v>32.99</v>
      </c>
      <c r="H580" s="55"/>
      <c r="I580" s="56">
        <f>F580*G580</f>
        <v>39.588000000000001</v>
      </c>
      <c r="J580" s="57">
        <f>F580*G580</f>
        <v>39.588000000000001</v>
      </c>
    </row>
    <row r="581" spans="1:10" ht="12.75">
      <c r="A581" s="449"/>
      <c r="B581" s="469"/>
      <c r="C581" s="450"/>
      <c r="D581" s="451" t="s">
        <v>696</v>
      </c>
      <c r="E581" s="470"/>
      <c r="F581" s="61"/>
      <c r="G581" s="58"/>
      <c r="H581" s="59">
        <f>SUM(H578:H580)</f>
        <v>219.09</v>
      </c>
      <c r="I581" s="59">
        <f>SUM(I578:I580)</f>
        <v>66.548000000000002</v>
      </c>
      <c r="J581" s="60">
        <f>SUM(J578:J580)</f>
        <v>285.63800000000003</v>
      </c>
    </row>
    <row r="582" spans="1:10" ht="12.75">
      <c r="A582" s="384" t="s">
        <v>1052</v>
      </c>
      <c r="B582" s="1029" t="s">
        <v>1418</v>
      </c>
      <c r="C582" s="1030"/>
      <c r="D582" s="1030"/>
      <c r="E582" s="409"/>
      <c r="F582" s="409"/>
      <c r="G582" s="409"/>
      <c r="H582" s="409"/>
      <c r="I582" s="409"/>
      <c r="J582" s="410"/>
    </row>
    <row r="583" spans="1:10" ht="12.75">
      <c r="A583" s="401"/>
      <c r="B583" s="401"/>
      <c r="C583" s="401"/>
      <c r="D583" s="401"/>
      <c r="E583" s="63"/>
      <c r="F583" s="63"/>
      <c r="G583" s="63"/>
      <c r="H583" s="63"/>
      <c r="I583" s="63"/>
      <c r="J583" s="63"/>
    </row>
    <row r="584" spans="1:10" ht="25.5">
      <c r="A584" s="372" t="s">
        <v>697</v>
      </c>
      <c r="B584" s="372"/>
      <c r="C584" s="373" t="s">
        <v>1419</v>
      </c>
      <c r="D584" s="464" t="s">
        <v>173</v>
      </c>
      <c r="E584" s="440" t="s">
        <v>405</v>
      </c>
      <c r="F584" s="376" t="s">
        <v>692</v>
      </c>
      <c r="G584" s="376" t="s">
        <v>693</v>
      </c>
      <c r="H584" s="376" t="s">
        <v>694</v>
      </c>
      <c r="I584" s="376" t="s">
        <v>695</v>
      </c>
      <c r="J584" s="376" t="s">
        <v>696</v>
      </c>
    </row>
    <row r="585" spans="1:10" ht="25.5">
      <c r="A585" s="377" t="s">
        <v>699</v>
      </c>
      <c r="B585" s="465" t="s">
        <v>409</v>
      </c>
      <c r="C585" s="377" t="s">
        <v>803</v>
      </c>
      <c r="D585" s="477" t="s">
        <v>804</v>
      </c>
      <c r="E585" s="55" t="s">
        <v>13</v>
      </c>
      <c r="F585" s="500">
        <v>1</v>
      </c>
      <c r="G585" s="479">
        <v>74.13</v>
      </c>
      <c r="H585" s="397">
        <f>F585*G585</f>
        <v>74.13</v>
      </c>
      <c r="I585" s="395"/>
      <c r="J585" s="397">
        <f>SUM(H585:I585)</f>
        <v>74.13</v>
      </c>
    </row>
    <row r="586" spans="1:10" ht="25.5">
      <c r="A586" s="377" t="s">
        <v>699</v>
      </c>
      <c r="B586" s="465" t="s">
        <v>409</v>
      </c>
      <c r="C586" s="377" t="s">
        <v>806</v>
      </c>
      <c r="D586" s="477" t="s">
        <v>805</v>
      </c>
      <c r="E586" s="411" t="s">
        <v>13</v>
      </c>
      <c r="F586" s="500">
        <v>0.4</v>
      </c>
      <c r="G586" s="479">
        <v>44.14</v>
      </c>
      <c r="H586" s="397">
        <f>F586*G586</f>
        <v>17.656000000000002</v>
      </c>
      <c r="I586" s="395"/>
      <c r="J586" s="397">
        <f t="shared" ref="J586:J588" si="50">SUM(H586:I586)</f>
        <v>17.656000000000002</v>
      </c>
    </row>
    <row r="587" spans="1:10" ht="12.75">
      <c r="A587" s="377" t="s">
        <v>698</v>
      </c>
      <c r="B587" s="392" t="s">
        <v>406</v>
      </c>
      <c r="C587" s="392">
        <v>88247</v>
      </c>
      <c r="D587" s="447" t="s">
        <v>746</v>
      </c>
      <c r="E587" s="432" t="s">
        <v>740</v>
      </c>
      <c r="F587" s="500">
        <v>0.1</v>
      </c>
      <c r="G587" s="479">
        <v>26.96</v>
      </c>
      <c r="H587" s="395"/>
      <c r="I587" s="395">
        <f>F587*G587</f>
        <v>2.6960000000000002</v>
      </c>
      <c r="J587" s="397">
        <f t="shared" si="50"/>
        <v>2.6960000000000002</v>
      </c>
    </row>
    <row r="588" spans="1:10" ht="12.75">
      <c r="A588" s="377" t="s">
        <v>698</v>
      </c>
      <c r="B588" s="392" t="s">
        <v>406</v>
      </c>
      <c r="C588" s="441">
        <v>88264</v>
      </c>
      <c r="D588" s="447" t="s">
        <v>747</v>
      </c>
      <c r="E588" s="432" t="s">
        <v>740</v>
      </c>
      <c r="F588" s="608">
        <v>0.1</v>
      </c>
      <c r="G588" s="407">
        <v>32.99</v>
      </c>
      <c r="H588" s="395"/>
      <c r="I588" s="395">
        <f>F588*G588</f>
        <v>3.2990000000000004</v>
      </c>
      <c r="J588" s="397">
        <f t="shared" si="50"/>
        <v>3.2990000000000004</v>
      </c>
    </row>
    <row r="589" spans="1:10" ht="12.75">
      <c r="A589" s="449"/>
      <c r="B589" s="449"/>
      <c r="C589" s="450"/>
      <c r="D589" s="451" t="s">
        <v>696</v>
      </c>
      <c r="E589" s="452"/>
      <c r="F589" s="453"/>
      <c r="G589" s="454"/>
      <c r="H589" s="455">
        <f>SUM(H585:H588)</f>
        <v>91.786000000000001</v>
      </c>
      <c r="I589" s="455">
        <f>SUM(I585:I588)</f>
        <v>5.995000000000001</v>
      </c>
      <c r="J589" s="386">
        <f>SUM(H589:I589)</f>
        <v>97.781000000000006</v>
      </c>
    </row>
    <row r="590" spans="1:10" ht="12.75">
      <c r="A590" s="384" t="s">
        <v>1052</v>
      </c>
      <c r="B590" s="1029" t="s">
        <v>1078</v>
      </c>
      <c r="C590" s="1030"/>
      <c r="D590" s="1030"/>
      <c r="E590" s="409"/>
      <c r="F590" s="409"/>
      <c r="G590" s="409"/>
      <c r="H590" s="409"/>
      <c r="I590" s="409"/>
      <c r="J590" s="410"/>
    </row>
    <row r="591" spans="1:10" ht="12.75">
      <c r="A591" s="524"/>
      <c r="B591" s="459"/>
      <c r="C591" s="459"/>
      <c r="D591" s="459"/>
      <c r="E591" s="460"/>
      <c r="F591" s="460"/>
      <c r="G591" s="460"/>
      <c r="H591" s="460"/>
      <c r="I591" s="460"/>
      <c r="J591" s="461"/>
    </row>
    <row r="592" spans="1:10" ht="12.75">
      <c r="A592" s="401"/>
      <c r="B592" s="401"/>
      <c r="C592" s="401"/>
      <c r="D592" s="401"/>
      <c r="E592" s="63"/>
      <c r="F592" s="63"/>
      <c r="G592" s="63"/>
      <c r="H592" s="63"/>
      <c r="I592" s="63"/>
      <c r="J592" s="63"/>
    </row>
    <row r="593" spans="1:10" ht="12.75">
      <c r="A593" s="372" t="s">
        <v>697</v>
      </c>
      <c r="B593" s="372"/>
      <c r="C593" s="373" t="s">
        <v>1420</v>
      </c>
      <c r="D593" s="464" t="s">
        <v>1625</v>
      </c>
      <c r="E593" s="440" t="s">
        <v>411</v>
      </c>
      <c r="F593" s="376" t="s">
        <v>692</v>
      </c>
      <c r="G593" s="376" t="s">
        <v>693</v>
      </c>
      <c r="H593" s="376" t="s">
        <v>694</v>
      </c>
      <c r="I593" s="376" t="s">
        <v>695</v>
      </c>
      <c r="J593" s="376" t="s">
        <v>696</v>
      </c>
    </row>
    <row r="594" spans="1:10" ht="12.75">
      <c r="A594" s="377" t="s">
        <v>699</v>
      </c>
      <c r="B594" s="398" t="s">
        <v>409</v>
      </c>
      <c r="C594" s="377" t="s">
        <v>807</v>
      </c>
      <c r="D594" s="477" t="s">
        <v>1625</v>
      </c>
      <c r="E594" s="411" t="s">
        <v>15</v>
      </c>
      <c r="F594" s="500">
        <v>1</v>
      </c>
      <c r="G594" s="63">
        <v>47.11</v>
      </c>
      <c r="H594" s="397">
        <f>F594*G594</f>
        <v>47.11</v>
      </c>
      <c r="I594" s="395"/>
      <c r="J594" s="397">
        <f>SUM(H594:I594)</f>
        <v>47.11</v>
      </c>
    </row>
    <row r="595" spans="1:10" ht="12.75">
      <c r="A595" s="377" t="s">
        <v>698</v>
      </c>
      <c r="B595" s="392" t="s">
        <v>406</v>
      </c>
      <c r="C595" s="392">
        <v>88247</v>
      </c>
      <c r="D595" s="447" t="s">
        <v>746</v>
      </c>
      <c r="E595" s="432" t="s">
        <v>740</v>
      </c>
      <c r="F595" s="577">
        <v>0.1</v>
      </c>
      <c r="G595" s="479">
        <v>26.96</v>
      </c>
      <c r="H595" s="395"/>
      <c r="I595" s="395">
        <f>F595*G595</f>
        <v>2.6960000000000002</v>
      </c>
      <c r="J595" s="397">
        <f t="shared" ref="J595:J596" si="51">SUM(H595:I595)</f>
        <v>2.6960000000000002</v>
      </c>
    </row>
    <row r="596" spans="1:10" ht="12.75">
      <c r="A596" s="377" t="s">
        <v>698</v>
      </c>
      <c r="B596" s="392" t="s">
        <v>406</v>
      </c>
      <c r="C596" s="441">
        <v>88264</v>
      </c>
      <c r="D596" s="447" t="s">
        <v>747</v>
      </c>
      <c r="E596" s="432" t="s">
        <v>740</v>
      </c>
      <c r="F596" s="577">
        <v>0.1</v>
      </c>
      <c r="G596" s="407">
        <v>32.99</v>
      </c>
      <c r="H596" s="395"/>
      <c r="I596" s="395">
        <f>F596*G596</f>
        <v>3.2990000000000004</v>
      </c>
      <c r="J596" s="397">
        <f t="shared" si="51"/>
        <v>3.2990000000000004</v>
      </c>
    </row>
    <row r="597" spans="1:10" ht="12.75">
      <c r="A597" s="449"/>
      <c r="B597" s="449"/>
      <c r="C597" s="450"/>
      <c r="D597" s="451" t="s">
        <v>696</v>
      </c>
      <c r="E597" s="452"/>
      <c r="F597" s="577"/>
      <c r="G597" s="611"/>
      <c r="H597" s="455">
        <f>SUM(H594:H596)</f>
        <v>47.11</v>
      </c>
      <c r="I597" s="455">
        <f>SUM(I594:I596)</f>
        <v>5.995000000000001</v>
      </c>
      <c r="J597" s="386">
        <f>SUM(H597:I597)</f>
        <v>53.105000000000004</v>
      </c>
    </row>
    <row r="598" spans="1:10" ht="12.75">
      <c r="A598" s="384" t="s">
        <v>1052</v>
      </c>
      <c r="B598" s="1029" t="s">
        <v>1078</v>
      </c>
      <c r="C598" s="1030"/>
      <c r="D598" s="1030"/>
      <c r="E598" s="409"/>
      <c r="F598" s="409"/>
      <c r="G598" s="409"/>
      <c r="H598" s="409"/>
      <c r="I598" s="409"/>
      <c r="J598" s="410"/>
    </row>
    <row r="599" spans="1:10" ht="12.75">
      <c r="A599" s="524"/>
      <c r="B599" s="459"/>
      <c r="C599" s="459"/>
      <c r="D599" s="459"/>
      <c r="E599" s="460"/>
      <c r="F599" s="460"/>
      <c r="G599" s="460"/>
      <c r="H599" s="460"/>
      <c r="I599" s="460"/>
      <c r="J599" s="461"/>
    </row>
    <row r="600" spans="1:10" ht="12.75">
      <c r="A600" s="401"/>
      <c r="B600" s="401"/>
      <c r="C600" s="401"/>
      <c r="D600" s="401"/>
      <c r="E600" s="63"/>
      <c r="F600" s="63"/>
      <c r="G600" s="63"/>
      <c r="H600" s="63"/>
      <c r="I600" s="63"/>
      <c r="J600" s="63"/>
    </row>
    <row r="601" spans="1:10" ht="25.5">
      <c r="A601" s="372" t="s">
        <v>697</v>
      </c>
      <c r="B601" s="372"/>
      <c r="C601" s="373" t="s">
        <v>1421</v>
      </c>
      <c r="D601" s="464" t="s">
        <v>149</v>
      </c>
      <c r="E601" s="440" t="s">
        <v>411</v>
      </c>
      <c r="F601" s="376" t="s">
        <v>692</v>
      </c>
      <c r="G601" s="376" t="s">
        <v>693</v>
      </c>
      <c r="H601" s="376" t="s">
        <v>694</v>
      </c>
      <c r="I601" s="376" t="s">
        <v>695</v>
      </c>
      <c r="J601" s="376" t="s">
        <v>696</v>
      </c>
    </row>
    <row r="602" spans="1:10" ht="25.5">
      <c r="A602" s="377" t="s">
        <v>699</v>
      </c>
      <c r="B602" s="465" t="s">
        <v>409</v>
      </c>
      <c r="C602" s="377" t="s">
        <v>808</v>
      </c>
      <c r="D602" s="477" t="s">
        <v>149</v>
      </c>
      <c r="E602" s="411" t="s">
        <v>15</v>
      </c>
      <c r="F602" s="500">
        <v>1</v>
      </c>
      <c r="G602" s="407">
        <v>28.58</v>
      </c>
      <c r="H602" s="397">
        <f>F602*G602</f>
        <v>28.58</v>
      </c>
      <c r="I602" s="395"/>
      <c r="J602" s="397">
        <f>SUM(H602:I602)</f>
        <v>28.58</v>
      </c>
    </row>
    <row r="603" spans="1:10" ht="12.75">
      <c r="A603" s="377" t="s">
        <v>698</v>
      </c>
      <c r="B603" s="392" t="s">
        <v>406</v>
      </c>
      <c r="C603" s="392">
        <v>88247</v>
      </c>
      <c r="D603" s="447" t="s">
        <v>746</v>
      </c>
      <c r="E603" s="432" t="s">
        <v>740</v>
      </c>
      <c r="F603" s="577">
        <v>0.1</v>
      </c>
      <c r="G603" s="479">
        <v>26.96</v>
      </c>
      <c r="H603" s="395"/>
      <c r="I603" s="395">
        <f>F603*G603</f>
        <v>2.6960000000000002</v>
      </c>
      <c r="J603" s="397">
        <f t="shared" ref="J603:J604" si="52">SUM(H603:I603)</f>
        <v>2.6960000000000002</v>
      </c>
    </row>
    <row r="604" spans="1:10" ht="12.75">
      <c r="A604" s="377" t="s">
        <v>698</v>
      </c>
      <c r="B604" s="392" t="s">
        <v>406</v>
      </c>
      <c r="C604" s="441">
        <v>88264</v>
      </c>
      <c r="D604" s="447" t="s">
        <v>747</v>
      </c>
      <c r="E604" s="432" t="s">
        <v>740</v>
      </c>
      <c r="F604" s="577">
        <v>0.1</v>
      </c>
      <c r="G604" s="407">
        <v>32.99</v>
      </c>
      <c r="H604" s="395"/>
      <c r="I604" s="395">
        <f>F604*G604</f>
        <v>3.2990000000000004</v>
      </c>
      <c r="J604" s="397">
        <f t="shared" si="52"/>
        <v>3.2990000000000004</v>
      </c>
    </row>
    <row r="605" spans="1:10" ht="12.75">
      <c r="A605" s="449"/>
      <c r="B605" s="449"/>
      <c r="C605" s="450"/>
      <c r="D605" s="451" t="s">
        <v>696</v>
      </c>
      <c r="E605" s="452"/>
      <c r="F605" s="453"/>
      <c r="G605" s="454"/>
      <c r="H605" s="455">
        <f>SUM(H602:H604)</f>
        <v>28.58</v>
      </c>
      <c r="I605" s="455">
        <f>SUM(I602:I604)</f>
        <v>5.995000000000001</v>
      </c>
      <c r="J605" s="386">
        <f>SUM(H605:I605)</f>
        <v>34.575000000000003</v>
      </c>
    </row>
    <row r="606" spans="1:10" ht="12.75">
      <c r="A606" s="384" t="s">
        <v>1052</v>
      </c>
      <c r="B606" s="1029" t="s">
        <v>1079</v>
      </c>
      <c r="C606" s="1030"/>
      <c r="D606" s="1030"/>
      <c r="E606" s="409"/>
      <c r="F606" s="409"/>
      <c r="G606" s="409"/>
      <c r="H606" s="409"/>
      <c r="I606" s="409"/>
      <c r="J606" s="410"/>
    </row>
    <row r="607" spans="1:10" ht="12.75">
      <c r="A607" s="401"/>
      <c r="B607" s="401"/>
      <c r="C607" s="401"/>
      <c r="D607" s="401"/>
      <c r="E607" s="63"/>
      <c r="F607" s="63"/>
      <c r="G607" s="63"/>
      <c r="H607" s="63"/>
      <c r="I607" s="63"/>
      <c r="J607" s="63"/>
    </row>
    <row r="608" spans="1:10" ht="12.75">
      <c r="A608" s="401"/>
      <c r="B608" s="401"/>
      <c r="C608" s="401"/>
      <c r="D608" s="401"/>
      <c r="E608" s="63"/>
      <c r="F608" s="63"/>
      <c r="G608" s="63"/>
      <c r="H608" s="63"/>
      <c r="I608" s="63"/>
      <c r="J608" s="63"/>
    </row>
    <row r="609" spans="1:10" ht="25.5">
      <c r="A609" s="372" t="s">
        <v>697</v>
      </c>
      <c r="B609" s="372"/>
      <c r="C609" s="373" t="s">
        <v>1422</v>
      </c>
      <c r="D609" s="464" t="s">
        <v>150</v>
      </c>
      <c r="E609" s="440" t="s">
        <v>411</v>
      </c>
      <c r="F609" s="376" t="s">
        <v>692</v>
      </c>
      <c r="G609" s="376" t="s">
        <v>693</v>
      </c>
      <c r="H609" s="376" t="s">
        <v>694</v>
      </c>
      <c r="I609" s="376" t="s">
        <v>695</v>
      </c>
      <c r="J609" s="376" t="s">
        <v>696</v>
      </c>
    </row>
    <row r="610" spans="1:10" ht="25.5">
      <c r="A610" s="377" t="s">
        <v>699</v>
      </c>
      <c r="B610" s="465" t="s">
        <v>409</v>
      </c>
      <c r="C610" s="377" t="s">
        <v>809</v>
      </c>
      <c r="D610" s="477" t="s">
        <v>150</v>
      </c>
      <c r="E610" s="411" t="s">
        <v>15</v>
      </c>
      <c r="F610" s="500">
        <v>1</v>
      </c>
      <c r="G610" s="407">
        <v>3.66</v>
      </c>
      <c r="H610" s="397">
        <f>F610*G610</f>
        <v>3.66</v>
      </c>
      <c r="I610" s="395"/>
      <c r="J610" s="397">
        <f>SUM(H610:I610)</f>
        <v>3.66</v>
      </c>
    </row>
    <row r="611" spans="1:10" ht="12.75">
      <c r="A611" s="377" t="s">
        <v>698</v>
      </c>
      <c r="B611" s="392" t="s">
        <v>406</v>
      </c>
      <c r="C611" s="392">
        <v>88247</v>
      </c>
      <c r="D611" s="447" t="s">
        <v>746</v>
      </c>
      <c r="E611" s="432" t="s">
        <v>740</v>
      </c>
      <c r="F611" s="577">
        <v>0.1</v>
      </c>
      <c r="G611" s="479">
        <v>26.96</v>
      </c>
      <c r="H611" s="395"/>
      <c r="I611" s="395">
        <f>F611*G611</f>
        <v>2.6960000000000002</v>
      </c>
      <c r="J611" s="397">
        <f t="shared" ref="J611:J612" si="53">SUM(H611:I611)</f>
        <v>2.6960000000000002</v>
      </c>
    </row>
    <row r="612" spans="1:10" ht="12.75">
      <c r="A612" s="377" t="s">
        <v>698</v>
      </c>
      <c r="B612" s="392" t="s">
        <v>406</v>
      </c>
      <c r="C612" s="441">
        <v>88264</v>
      </c>
      <c r="D612" s="447" t="s">
        <v>747</v>
      </c>
      <c r="E612" s="432" t="s">
        <v>740</v>
      </c>
      <c r="F612" s="577">
        <v>0.1</v>
      </c>
      <c r="G612" s="407">
        <v>32.99</v>
      </c>
      <c r="H612" s="395"/>
      <c r="I612" s="395">
        <f>F612*G612</f>
        <v>3.2990000000000004</v>
      </c>
      <c r="J612" s="397">
        <f t="shared" si="53"/>
        <v>3.2990000000000004</v>
      </c>
    </row>
    <row r="613" spans="1:10" ht="12.75">
      <c r="A613" s="449"/>
      <c r="B613" s="449"/>
      <c r="C613" s="450"/>
      <c r="D613" s="451" t="s">
        <v>696</v>
      </c>
      <c r="E613" s="452"/>
      <c r="F613" s="453"/>
      <c r="G613" s="454"/>
      <c r="H613" s="455">
        <f>SUM(H610:H612)</f>
        <v>3.66</v>
      </c>
      <c r="I613" s="612">
        <f>SUM(I610:I612)</f>
        <v>5.995000000000001</v>
      </c>
      <c r="J613" s="386">
        <f>SUM(H613:I613)</f>
        <v>9.6550000000000011</v>
      </c>
    </row>
    <row r="614" spans="1:10" ht="12.75">
      <c r="A614" s="384" t="s">
        <v>1052</v>
      </c>
      <c r="B614" s="1029" t="s">
        <v>1080</v>
      </c>
      <c r="C614" s="1030"/>
      <c r="D614" s="1030"/>
      <c r="E614" s="409"/>
      <c r="F614" s="409"/>
      <c r="G614" s="409"/>
      <c r="H614" s="409"/>
      <c r="I614" s="409"/>
      <c r="J614" s="410"/>
    </row>
    <row r="615" spans="1:10" ht="12.75">
      <c r="A615" s="401"/>
      <c r="B615" s="401"/>
      <c r="C615" s="401"/>
      <c r="D615" s="401"/>
      <c r="E615" s="63"/>
      <c r="F615" s="63"/>
      <c r="G615" s="63"/>
      <c r="H615" s="63"/>
      <c r="I615" s="63"/>
      <c r="J615" s="63"/>
    </row>
    <row r="616" spans="1:10" ht="12.75">
      <c r="A616" s="401"/>
      <c r="B616" s="401"/>
      <c r="C616" s="401"/>
      <c r="D616" s="401"/>
      <c r="E616" s="63"/>
      <c r="F616" s="63"/>
      <c r="G616" s="63"/>
      <c r="H616" s="63"/>
      <c r="I616" s="63"/>
      <c r="J616" s="63"/>
    </row>
    <row r="617" spans="1:10" ht="25.5">
      <c r="A617" s="372" t="s">
        <v>697</v>
      </c>
      <c r="B617" s="372"/>
      <c r="C617" s="373" t="s">
        <v>1423</v>
      </c>
      <c r="D617" s="464" t="s">
        <v>151</v>
      </c>
      <c r="E617" s="440" t="s">
        <v>411</v>
      </c>
      <c r="F617" s="376" t="s">
        <v>692</v>
      </c>
      <c r="G617" s="376" t="s">
        <v>693</v>
      </c>
      <c r="H617" s="376" t="s">
        <v>694</v>
      </c>
      <c r="I617" s="376" t="s">
        <v>695</v>
      </c>
      <c r="J617" s="376" t="s">
        <v>696</v>
      </c>
    </row>
    <row r="618" spans="1:10" ht="12.75">
      <c r="A618" s="377" t="s">
        <v>698</v>
      </c>
      <c r="B618" s="398" t="s">
        <v>409</v>
      </c>
      <c r="C618" s="392">
        <v>38076</v>
      </c>
      <c r="D618" s="477" t="s">
        <v>2441</v>
      </c>
      <c r="E618" s="411" t="s">
        <v>15</v>
      </c>
      <c r="F618" s="500">
        <v>1</v>
      </c>
      <c r="G618" s="407">
        <v>17.96</v>
      </c>
      <c r="H618" s="397">
        <f>F618*G618</f>
        <v>17.96</v>
      </c>
      <c r="I618" s="395"/>
      <c r="J618" s="397">
        <f>SUM(H618:I618)</f>
        <v>17.96</v>
      </c>
    </row>
    <row r="619" spans="1:10" ht="12.75">
      <c r="A619" s="377" t="s">
        <v>698</v>
      </c>
      <c r="B619" s="392" t="s">
        <v>406</v>
      </c>
      <c r="C619" s="392">
        <v>88247</v>
      </c>
      <c r="D619" s="447" t="s">
        <v>746</v>
      </c>
      <c r="E619" s="432" t="s">
        <v>740</v>
      </c>
      <c r="F619" s="577">
        <v>0.1</v>
      </c>
      <c r="G619" s="479">
        <v>26.96</v>
      </c>
      <c r="H619" s="395"/>
      <c r="I619" s="395">
        <f>F619*G619</f>
        <v>2.6960000000000002</v>
      </c>
      <c r="J619" s="397">
        <f t="shared" ref="J619:J620" si="54">SUM(H619:I619)</f>
        <v>2.6960000000000002</v>
      </c>
    </row>
    <row r="620" spans="1:10" ht="12.75">
      <c r="A620" s="377" t="s">
        <v>698</v>
      </c>
      <c r="B620" s="392" t="s">
        <v>406</v>
      </c>
      <c r="C620" s="441">
        <v>88264</v>
      </c>
      <c r="D620" s="447" t="s">
        <v>747</v>
      </c>
      <c r="E620" s="432" t="s">
        <v>740</v>
      </c>
      <c r="F620" s="577">
        <v>0.1</v>
      </c>
      <c r="G620" s="407">
        <v>32.99</v>
      </c>
      <c r="H620" s="395"/>
      <c r="I620" s="395">
        <f>F620*G620</f>
        <v>3.2990000000000004</v>
      </c>
      <c r="J620" s="397">
        <f t="shared" si="54"/>
        <v>3.2990000000000004</v>
      </c>
    </row>
    <row r="621" spans="1:10" ht="12.75">
      <c r="A621" s="449"/>
      <c r="B621" s="449"/>
      <c r="C621" s="450"/>
      <c r="D621" s="451" t="s">
        <v>696</v>
      </c>
      <c r="E621" s="452"/>
      <c r="F621" s="453"/>
      <c r="G621" s="454"/>
      <c r="H621" s="455">
        <f>SUM(H618:H620)</f>
        <v>17.96</v>
      </c>
      <c r="I621" s="455">
        <f>SUM(I618:I620)</f>
        <v>5.995000000000001</v>
      </c>
      <c r="J621" s="386">
        <f>SUM(H621:I621)</f>
        <v>23.955000000000002</v>
      </c>
    </row>
    <row r="622" spans="1:10" ht="12.75">
      <c r="A622" s="384" t="s">
        <v>1052</v>
      </c>
      <c r="B622" s="1029" t="s">
        <v>1080</v>
      </c>
      <c r="C622" s="1030"/>
      <c r="D622" s="1030"/>
      <c r="E622" s="409"/>
      <c r="F622" s="409"/>
      <c r="G622" s="409"/>
      <c r="H622" s="409"/>
      <c r="I622" s="409"/>
      <c r="J622" s="410"/>
    </row>
    <row r="623" spans="1:10" ht="12.75">
      <c r="A623" s="401"/>
      <c r="B623" s="401"/>
      <c r="C623" s="401"/>
      <c r="D623" s="401"/>
      <c r="E623" s="63"/>
      <c r="F623" s="63"/>
      <c r="G623" s="63"/>
      <c r="H623" s="63"/>
      <c r="I623" s="63"/>
      <c r="J623" s="63"/>
    </row>
    <row r="624" spans="1:10" ht="12.75">
      <c r="A624" s="401"/>
      <c r="B624" s="401"/>
      <c r="C624" s="401"/>
      <c r="D624" s="401"/>
      <c r="E624" s="63"/>
      <c r="F624" s="63"/>
      <c r="G624" s="63"/>
      <c r="H624" s="63"/>
      <c r="I624" s="63"/>
      <c r="J624" s="63"/>
    </row>
    <row r="625" spans="1:10" ht="25.5">
      <c r="A625" s="372" t="s">
        <v>697</v>
      </c>
      <c r="B625" s="372"/>
      <c r="C625" s="373" t="s">
        <v>1424</v>
      </c>
      <c r="D625" s="464" t="s">
        <v>152</v>
      </c>
      <c r="E625" s="440" t="s">
        <v>411</v>
      </c>
      <c r="F625" s="376" t="s">
        <v>692</v>
      </c>
      <c r="G625" s="376" t="s">
        <v>693</v>
      </c>
      <c r="H625" s="376" t="s">
        <v>694</v>
      </c>
      <c r="I625" s="376" t="s">
        <v>695</v>
      </c>
      <c r="J625" s="376" t="s">
        <v>696</v>
      </c>
    </row>
    <row r="626" spans="1:10" ht="12.75">
      <c r="A626" s="377" t="s">
        <v>698</v>
      </c>
      <c r="B626" s="398" t="s">
        <v>409</v>
      </c>
      <c r="C626" s="392">
        <v>38076</v>
      </c>
      <c r="D626" s="477" t="s">
        <v>2442</v>
      </c>
      <c r="E626" s="411" t="s">
        <v>15</v>
      </c>
      <c r="F626" s="500">
        <v>1</v>
      </c>
      <c r="G626" s="407">
        <v>17.96</v>
      </c>
      <c r="H626" s="397">
        <f>F626*G626</f>
        <v>17.96</v>
      </c>
      <c r="I626" s="395"/>
      <c r="J626" s="397">
        <f>SUM(H626:I626)</f>
        <v>17.96</v>
      </c>
    </row>
    <row r="627" spans="1:10" ht="12.75">
      <c r="A627" s="377" t="s">
        <v>698</v>
      </c>
      <c r="B627" s="392" t="s">
        <v>406</v>
      </c>
      <c r="C627" s="392">
        <v>88247</v>
      </c>
      <c r="D627" s="447" t="s">
        <v>746</v>
      </c>
      <c r="E627" s="432" t="s">
        <v>740</v>
      </c>
      <c r="F627" s="577">
        <v>0.1</v>
      </c>
      <c r="G627" s="479">
        <v>26.96</v>
      </c>
      <c r="H627" s="395"/>
      <c r="I627" s="395">
        <f>F627*G627</f>
        <v>2.6960000000000002</v>
      </c>
      <c r="J627" s="397">
        <f t="shared" ref="J627:J628" si="55">SUM(H627:I627)</f>
        <v>2.6960000000000002</v>
      </c>
    </row>
    <row r="628" spans="1:10" ht="12.75">
      <c r="A628" s="377" t="s">
        <v>698</v>
      </c>
      <c r="B628" s="392" t="s">
        <v>406</v>
      </c>
      <c r="C628" s="441">
        <v>88264</v>
      </c>
      <c r="D628" s="447" t="s">
        <v>747</v>
      </c>
      <c r="E628" s="432" t="s">
        <v>740</v>
      </c>
      <c r="F628" s="577">
        <v>0.1</v>
      </c>
      <c r="G628" s="407">
        <v>32.99</v>
      </c>
      <c r="H628" s="395"/>
      <c r="I628" s="395">
        <f>F628*G628</f>
        <v>3.2990000000000004</v>
      </c>
      <c r="J628" s="397">
        <f t="shared" si="55"/>
        <v>3.2990000000000004</v>
      </c>
    </row>
    <row r="629" spans="1:10" ht="12.75">
      <c r="A629" s="449"/>
      <c r="B629" s="449"/>
      <c r="C629" s="450"/>
      <c r="D629" s="451" t="s">
        <v>696</v>
      </c>
      <c r="E629" s="452"/>
      <c r="F629" s="453"/>
      <c r="G629" s="454"/>
      <c r="H629" s="455">
        <f>SUM(H626:H628)</f>
        <v>17.96</v>
      </c>
      <c r="I629" s="455">
        <f>SUM(I626:I628)</f>
        <v>5.995000000000001</v>
      </c>
      <c r="J629" s="386">
        <f>SUM(H629:I629)</f>
        <v>23.955000000000002</v>
      </c>
    </row>
    <row r="630" spans="1:10" ht="12.75">
      <c r="A630" s="384" t="s">
        <v>1052</v>
      </c>
      <c r="B630" s="1029" t="s">
        <v>1080</v>
      </c>
      <c r="C630" s="1030"/>
      <c r="D630" s="1030"/>
      <c r="E630" s="409"/>
      <c r="F630" s="409"/>
      <c r="G630" s="409"/>
      <c r="H630" s="409"/>
      <c r="I630" s="409"/>
      <c r="J630" s="410"/>
    </row>
    <row r="631" spans="1:10" ht="12.75">
      <c r="A631" s="401"/>
      <c r="B631" s="401"/>
      <c r="C631" s="401"/>
      <c r="D631" s="401"/>
      <c r="E631" s="63"/>
      <c r="F631" s="63"/>
      <c r="G631" s="63"/>
      <c r="H631" s="63"/>
      <c r="I631" s="63"/>
      <c r="J631" s="63"/>
    </row>
    <row r="632" spans="1:10" ht="12.75">
      <c r="A632" s="401"/>
      <c r="B632" s="401"/>
      <c r="C632" s="401"/>
      <c r="D632" s="401"/>
      <c r="E632" s="63"/>
      <c r="F632" s="63"/>
      <c r="G632" s="63"/>
      <c r="H632" s="63"/>
      <c r="I632" s="63"/>
      <c r="J632" s="63"/>
    </row>
    <row r="633" spans="1:10" ht="25.5">
      <c r="A633" s="372" t="s">
        <v>697</v>
      </c>
      <c r="B633" s="372"/>
      <c r="C633" s="373" t="s">
        <v>1425</v>
      </c>
      <c r="D633" s="464" t="s">
        <v>183</v>
      </c>
      <c r="E633" s="440" t="s">
        <v>411</v>
      </c>
      <c r="F633" s="376" t="s">
        <v>692</v>
      </c>
      <c r="G633" s="376" t="s">
        <v>693</v>
      </c>
      <c r="H633" s="376" t="s">
        <v>694</v>
      </c>
      <c r="I633" s="376" t="s">
        <v>695</v>
      </c>
      <c r="J633" s="376" t="s">
        <v>696</v>
      </c>
    </row>
    <row r="634" spans="1:10" ht="12.75">
      <c r="A634" s="377" t="s">
        <v>698</v>
      </c>
      <c r="B634" s="398" t="s">
        <v>409</v>
      </c>
      <c r="C634" s="392">
        <v>38068</v>
      </c>
      <c r="D634" s="477" t="s">
        <v>2443</v>
      </c>
      <c r="E634" s="411" t="s">
        <v>15</v>
      </c>
      <c r="F634" s="500">
        <v>1</v>
      </c>
      <c r="G634" s="407">
        <v>14.58</v>
      </c>
      <c r="H634" s="397">
        <f>F634*G634</f>
        <v>14.58</v>
      </c>
      <c r="I634" s="395"/>
      <c r="J634" s="397">
        <f>SUM(H634:I634)</f>
        <v>14.58</v>
      </c>
    </row>
    <row r="635" spans="1:10" ht="12.75">
      <c r="A635" s="377" t="s">
        <v>698</v>
      </c>
      <c r="B635" s="392" t="s">
        <v>406</v>
      </c>
      <c r="C635" s="392">
        <v>88247</v>
      </c>
      <c r="D635" s="447" t="s">
        <v>746</v>
      </c>
      <c r="E635" s="432" t="s">
        <v>740</v>
      </c>
      <c r="F635" s="577">
        <v>0.1</v>
      </c>
      <c r="G635" s="479">
        <v>26.96</v>
      </c>
      <c r="H635" s="395"/>
      <c r="I635" s="395">
        <f>F635*G635</f>
        <v>2.6960000000000002</v>
      </c>
      <c r="J635" s="397">
        <f t="shared" ref="J635:J636" si="56">SUM(H635:I635)</f>
        <v>2.6960000000000002</v>
      </c>
    </row>
    <row r="636" spans="1:10" ht="12.75">
      <c r="A636" s="377" t="s">
        <v>698</v>
      </c>
      <c r="B636" s="392" t="s">
        <v>406</v>
      </c>
      <c r="C636" s="441">
        <v>88264</v>
      </c>
      <c r="D636" s="447" t="s">
        <v>747</v>
      </c>
      <c r="E636" s="432" t="s">
        <v>740</v>
      </c>
      <c r="F636" s="577">
        <v>0.1</v>
      </c>
      <c r="G636" s="407">
        <v>32.99</v>
      </c>
      <c r="H636" s="395"/>
      <c r="I636" s="395">
        <f>F636*G636</f>
        <v>3.2990000000000004</v>
      </c>
      <c r="J636" s="397">
        <f t="shared" si="56"/>
        <v>3.2990000000000004</v>
      </c>
    </row>
    <row r="637" spans="1:10" ht="12.75">
      <c r="A637" s="449"/>
      <c r="B637" s="449"/>
      <c r="C637" s="450"/>
      <c r="D637" s="451" t="s">
        <v>696</v>
      </c>
      <c r="E637" s="452"/>
      <c r="F637" s="453"/>
      <c r="G637" s="454"/>
      <c r="H637" s="455">
        <f>SUM(H634:H636)</f>
        <v>14.58</v>
      </c>
      <c r="I637" s="455">
        <f>SUM(I634:I636)</f>
        <v>5.995000000000001</v>
      </c>
      <c r="J637" s="386">
        <f>SUM(H637:I637)</f>
        <v>20.575000000000003</v>
      </c>
    </row>
    <row r="638" spans="1:10" ht="12.75">
      <c r="A638" s="384" t="s">
        <v>1052</v>
      </c>
      <c r="B638" s="1029" t="s">
        <v>1081</v>
      </c>
      <c r="C638" s="1030"/>
      <c r="D638" s="1030"/>
      <c r="E638" s="409"/>
      <c r="F638" s="409"/>
      <c r="G638" s="409"/>
      <c r="H638" s="409"/>
      <c r="I638" s="409"/>
      <c r="J638" s="410"/>
    </row>
    <row r="639" spans="1:10" ht="12.75">
      <c r="A639" s="401"/>
      <c r="B639" s="401"/>
      <c r="C639" s="401"/>
      <c r="D639" s="401"/>
      <c r="E639" s="63"/>
      <c r="F639" s="63"/>
      <c r="G639" s="63"/>
      <c r="H639" s="63"/>
      <c r="I639" s="63"/>
      <c r="J639" s="63"/>
    </row>
    <row r="640" spans="1:10" ht="12.75">
      <c r="A640" s="401"/>
      <c r="B640" s="401"/>
      <c r="C640" s="401"/>
      <c r="D640" s="401"/>
      <c r="E640" s="63"/>
      <c r="F640" s="63"/>
      <c r="G640" s="63"/>
      <c r="H640" s="63"/>
      <c r="I640" s="63"/>
      <c r="J640" s="63"/>
    </row>
    <row r="641" spans="1:10" ht="25.5">
      <c r="A641" s="372" t="s">
        <v>697</v>
      </c>
      <c r="B641" s="372"/>
      <c r="C641" s="373" t="s">
        <v>1428</v>
      </c>
      <c r="D641" s="464" t="s">
        <v>182</v>
      </c>
      <c r="E641" s="440" t="s">
        <v>411</v>
      </c>
      <c r="F641" s="376" t="s">
        <v>692</v>
      </c>
      <c r="G641" s="376" t="s">
        <v>693</v>
      </c>
      <c r="H641" s="376" t="s">
        <v>694</v>
      </c>
      <c r="I641" s="376" t="s">
        <v>695</v>
      </c>
      <c r="J641" s="376" t="s">
        <v>696</v>
      </c>
    </row>
    <row r="642" spans="1:10" ht="12.75">
      <c r="A642" s="377" t="s">
        <v>698</v>
      </c>
      <c r="B642" s="398" t="s">
        <v>409</v>
      </c>
      <c r="C642" s="392">
        <v>38070</v>
      </c>
      <c r="D642" s="477" t="s">
        <v>2444</v>
      </c>
      <c r="E642" s="411" t="s">
        <v>15</v>
      </c>
      <c r="F642" s="500">
        <v>1</v>
      </c>
      <c r="G642" s="407">
        <v>16.84</v>
      </c>
      <c r="H642" s="397">
        <f>F642*G642</f>
        <v>16.84</v>
      </c>
      <c r="I642" s="395"/>
      <c r="J642" s="397">
        <f>SUM(H642:I642)</f>
        <v>16.84</v>
      </c>
    </row>
    <row r="643" spans="1:10" ht="12.75">
      <c r="A643" s="377" t="s">
        <v>698</v>
      </c>
      <c r="B643" s="392" t="s">
        <v>406</v>
      </c>
      <c r="C643" s="392">
        <v>88247</v>
      </c>
      <c r="D643" s="447" t="s">
        <v>746</v>
      </c>
      <c r="E643" s="432" t="s">
        <v>740</v>
      </c>
      <c r="F643" s="613">
        <v>0.1</v>
      </c>
      <c r="G643" s="479">
        <v>26.96</v>
      </c>
      <c r="H643" s="395"/>
      <c r="I643" s="395">
        <f>F643*G643</f>
        <v>2.6960000000000002</v>
      </c>
      <c r="J643" s="397">
        <f t="shared" ref="J643:J644" si="57">SUM(H643:I643)</f>
        <v>2.6960000000000002</v>
      </c>
    </row>
    <row r="644" spans="1:10" ht="12.75">
      <c r="A644" s="377" t="s">
        <v>698</v>
      </c>
      <c r="B644" s="392" t="s">
        <v>406</v>
      </c>
      <c r="C644" s="441">
        <v>88264</v>
      </c>
      <c r="D644" s="447" t="s">
        <v>747</v>
      </c>
      <c r="E644" s="432" t="s">
        <v>740</v>
      </c>
      <c r="F644" s="613">
        <v>0.1</v>
      </c>
      <c r="G644" s="407">
        <v>32.99</v>
      </c>
      <c r="H644" s="395"/>
      <c r="I644" s="395">
        <f>F644*G644</f>
        <v>3.2990000000000004</v>
      </c>
      <c r="J644" s="397">
        <f t="shared" si="57"/>
        <v>3.2990000000000004</v>
      </c>
    </row>
    <row r="645" spans="1:10" ht="12.75">
      <c r="A645" s="449"/>
      <c r="B645" s="449"/>
      <c r="C645" s="450"/>
      <c r="D645" s="451" t="s">
        <v>696</v>
      </c>
      <c r="E645" s="452"/>
      <c r="F645" s="453"/>
      <c r="G645" s="454"/>
      <c r="H645" s="455">
        <f>SUM(H642:H644)</f>
        <v>16.84</v>
      </c>
      <c r="I645" s="455">
        <f>SUM(I642:I644)</f>
        <v>5.995000000000001</v>
      </c>
      <c r="J645" s="386">
        <f>SUM(H645:I645)</f>
        <v>22.835000000000001</v>
      </c>
    </row>
    <row r="646" spans="1:10" ht="12.75">
      <c r="A646" s="384" t="s">
        <v>1052</v>
      </c>
      <c r="B646" s="1029" t="s">
        <v>1082</v>
      </c>
      <c r="C646" s="1030"/>
      <c r="D646" s="1030"/>
      <c r="E646" s="409"/>
      <c r="F646" s="409"/>
      <c r="G646" s="409"/>
      <c r="H646" s="409"/>
      <c r="I646" s="409"/>
      <c r="J646" s="410"/>
    </row>
    <row r="647" spans="1:10" ht="12.75">
      <c r="A647" s="401"/>
      <c r="B647" s="401"/>
      <c r="C647" s="401"/>
      <c r="D647" s="401"/>
      <c r="E647" s="63"/>
      <c r="F647" s="63"/>
      <c r="G647" s="63"/>
      <c r="H647" s="63"/>
      <c r="I647" s="63"/>
      <c r="J647" s="63"/>
    </row>
    <row r="648" spans="1:10" ht="12.75">
      <c r="A648" s="401"/>
      <c r="B648" s="401"/>
      <c r="C648" s="401"/>
      <c r="D648" s="401"/>
      <c r="E648" s="63"/>
      <c r="F648" s="63"/>
      <c r="G648" s="63"/>
      <c r="H648" s="63"/>
      <c r="I648" s="63"/>
      <c r="J648" s="63"/>
    </row>
    <row r="649" spans="1:10" ht="38.25">
      <c r="A649" s="371" t="s">
        <v>697</v>
      </c>
      <c r="B649" s="372"/>
      <c r="C649" s="373" t="s">
        <v>1427</v>
      </c>
      <c r="D649" s="506" t="s">
        <v>1626</v>
      </c>
      <c r="E649" s="440" t="s">
        <v>411</v>
      </c>
      <c r="F649" s="376" t="s">
        <v>692</v>
      </c>
      <c r="G649" s="376" t="s">
        <v>693</v>
      </c>
      <c r="H649" s="376" t="s">
        <v>694</v>
      </c>
      <c r="I649" s="376" t="s">
        <v>695</v>
      </c>
      <c r="J649" s="376" t="s">
        <v>696</v>
      </c>
    </row>
    <row r="650" spans="1:10" ht="38.25">
      <c r="A650" s="377" t="s">
        <v>699</v>
      </c>
      <c r="B650" s="379" t="s">
        <v>409</v>
      </c>
      <c r="C650" s="377" t="s">
        <v>1659</v>
      </c>
      <c r="D650" s="506" t="s">
        <v>1626</v>
      </c>
      <c r="E650" s="411" t="s">
        <v>15</v>
      </c>
      <c r="F650" s="500">
        <v>1</v>
      </c>
      <c r="G650" s="407">
        <v>300.75</v>
      </c>
      <c r="H650" s="397">
        <f>F650*G650</f>
        <v>300.75</v>
      </c>
      <c r="I650" s="395"/>
      <c r="J650" s="397">
        <f>SUM(H650:I650)</f>
        <v>300.75</v>
      </c>
    </row>
    <row r="651" spans="1:10" ht="12.75">
      <c r="A651" s="377" t="s">
        <v>698</v>
      </c>
      <c r="B651" s="392" t="s">
        <v>406</v>
      </c>
      <c r="C651" s="392">
        <v>88247</v>
      </c>
      <c r="D651" s="447" t="s">
        <v>746</v>
      </c>
      <c r="E651" s="432" t="s">
        <v>740</v>
      </c>
      <c r="F651" s="501">
        <v>0.1</v>
      </c>
      <c r="G651" s="479">
        <v>26.96</v>
      </c>
      <c r="H651" s="395"/>
      <c r="I651" s="395">
        <f>F651*G651</f>
        <v>2.6960000000000002</v>
      </c>
      <c r="J651" s="397">
        <f t="shared" ref="J651:J652" si="58">SUM(H651:I651)</f>
        <v>2.6960000000000002</v>
      </c>
    </row>
    <row r="652" spans="1:10" ht="12.75">
      <c r="A652" s="377" t="s">
        <v>698</v>
      </c>
      <c r="B652" s="392" t="s">
        <v>406</v>
      </c>
      <c r="C652" s="441">
        <v>88264</v>
      </c>
      <c r="D652" s="447" t="s">
        <v>747</v>
      </c>
      <c r="E652" s="432" t="s">
        <v>740</v>
      </c>
      <c r="F652" s="501">
        <v>0.1</v>
      </c>
      <c r="G652" s="407">
        <v>32.99</v>
      </c>
      <c r="H652" s="395"/>
      <c r="I652" s="395">
        <f>F652*G652</f>
        <v>3.2990000000000004</v>
      </c>
      <c r="J652" s="397">
        <f t="shared" si="58"/>
        <v>3.2990000000000004</v>
      </c>
    </row>
    <row r="653" spans="1:10" ht="12.75">
      <c r="A653" s="449"/>
      <c r="B653" s="449"/>
      <c r="C653" s="450"/>
      <c r="D653" s="451" t="s">
        <v>696</v>
      </c>
      <c r="E653" s="452"/>
      <c r="F653" s="453"/>
      <c r="G653" s="454"/>
      <c r="H653" s="455">
        <f>SUM(H650:H652)</f>
        <v>300.75</v>
      </c>
      <c r="I653" s="455">
        <f>SUM(I650:I652)</f>
        <v>5.995000000000001</v>
      </c>
      <c r="J653" s="386">
        <f>SUM(H653:I653)</f>
        <v>306.745</v>
      </c>
    </row>
    <row r="654" spans="1:10" ht="12.75">
      <c r="A654" s="384" t="s">
        <v>1052</v>
      </c>
      <c r="B654" s="1029" t="s">
        <v>1083</v>
      </c>
      <c r="C654" s="1030"/>
      <c r="D654" s="1030"/>
      <c r="E654" s="409"/>
      <c r="F654" s="409"/>
      <c r="G654" s="409"/>
      <c r="H654" s="409"/>
      <c r="I654" s="409"/>
      <c r="J654" s="410"/>
    </row>
    <row r="655" spans="1:10" ht="12.75">
      <c r="A655" s="401"/>
      <c r="B655" s="401"/>
      <c r="C655" s="401"/>
      <c r="D655" s="401"/>
      <c r="E655" s="63"/>
      <c r="F655" s="63"/>
      <c r="G655" s="63"/>
      <c r="H655" s="63"/>
      <c r="I655" s="63"/>
      <c r="J655" s="63"/>
    </row>
    <row r="656" spans="1:10" s="44" customFormat="1" ht="13.5" customHeight="1">
      <c r="A656" s="416" t="s">
        <v>697</v>
      </c>
      <c r="B656" s="416"/>
      <c r="C656" s="417" t="s">
        <v>1434</v>
      </c>
      <c r="D656" s="498" t="s">
        <v>391</v>
      </c>
      <c r="E656" s="440" t="s">
        <v>411</v>
      </c>
      <c r="F656" s="417" t="s">
        <v>692</v>
      </c>
      <c r="G656" s="417" t="s">
        <v>693</v>
      </c>
      <c r="H656" s="417" t="s">
        <v>694</v>
      </c>
      <c r="I656" s="417" t="s">
        <v>695</v>
      </c>
      <c r="J656" s="424" t="s">
        <v>696</v>
      </c>
    </row>
    <row r="657" spans="1:11" s="44" customFormat="1" ht="12.75">
      <c r="A657" s="418" t="s">
        <v>698</v>
      </c>
      <c r="B657" s="420" t="s">
        <v>409</v>
      </c>
      <c r="C657" s="423">
        <v>2617</v>
      </c>
      <c r="D657" s="423" t="s">
        <v>1435</v>
      </c>
      <c r="E657" s="411" t="s">
        <v>15</v>
      </c>
      <c r="F657" s="421">
        <v>1</v>
      </c>
      <c r="G657" s="421">
        <v>8.7200000000000006</v>
      </c>
      <c r="H657" s="502">
        <f>F657*G657</f>
        <v>8.7200000000000006</v>
      </c>
      <c r="I657" s="421"/>
      <c r="J657" s="397">
        <f>SUM(H657:I657)</f>
        <v>8.7200000000000006</v>
      </c>
      <c r="K657" s="40"/>
    </row>
    <row r="658" spans="1:11" s="44" customFormat="1" ht="13.5" customHeight="1">
      <c r="A658" s="418" t="s">
        <v>698</v>
      </c>
      <c r="B658" s="420" t="s">
        <v>406</v>
      </c>
      <c r="C658" s="423">
        <v>88247</v>
      </c>
      <c r="D658" s="447" t="s">
        <v>746</v>
      </c>
      <c r="E658" s="432" t="s">
        <v>740</v>
      </c>
      <c r="F658" s="421">
        <v>0.13</v>
      </c>
      <c r="G658" s="479">
        <v>26.96</v>
      </c>
      <c r="H658" s="421"/>
      <c r="I658" s="862">
        <f>F658*G658</f>
        <v>3.5048000000000004</v>
      </c>
      <c r="J658" s="863">
        <f>I658</f>
        <v>3.5048000000000004</v>
      </c>
      <c r="K658" s="40"/>
    </row>
    <row r="659" spans="1:11" s="44" customFormat="1" ht="13.5" customHeight="1">
      <c r="A659" s="418" t="s">
        <v>698</v>
      </c>
      <c r="B659" s="420" t="s">
        <v>406</v>
      </c>
      <c r="C659" s="441">
        <v>88264</v>
      </c>
      <c r="D659" s="447" t="s">
        <v>747</v>
      </c>
      <c r="E659" s="432" t="s">
        <v>740</v>
      </c>
      <c r="F659" s="421">
        <v>0.13</v>
      </c>
      <c r="G659" s="407">
        <v>32.99</v>
      </c>
      <c r="H659" s="421"/>
      <c r="I659" s="862">
        <f>F659*G659</f>
        <v>4.2887000000000004</v>
      </c>
      <c r="J659" s="863">
        <f>I659</f>
        <v>4.2887000000000004</v>
      </c>
      <c r="K659" s="40"/>
    </row>
    <row r="660" spans="1:11" s="44" customFormat="1" ht="13.5" customHeight="1">
      <c r="A660" s="420"/>
      <c r="B660" s="420"/>
      <c r="C660" s="420"/>
      <c r="D660" s="416" t="s">
        <v>696</v>
      </c>
      <c r="E660" s="417"/>
      <c r="F660" s="417"/>
      <c r="G660" s="417"/>
      <c r="H660" s="866">
        <f>SUM(H657:H659)</f>
        <v>8.7200000000000006</v>
      </c>
      <c r="I660" s="864">
        <f>SUM(I658:I659)</f>
        <v>7.7935000000000008</v>
      </c>
      <c r="J660" s="865">
        <f>H660+I660</f>
        <v>16.513500000000001</v>
      </c>
    </row>
    <row r="661" spans="1:11" s="44" customFormat="1" ht="13.5" customHeight="1">
      <c r="A661" s="401"/>
      <c r="B661" s="401"/>
      <c r="C661" s="401"/>
      <c r="D661" s="401"/>
      <c r="E661" s="63"/>
      <c r="F661" s="63"/>
      <c r="G661" s="63"/>
      <c r="H661" s="63"/>
      <c r="I661" s="63"/>
      <c r="J661" s="63"/>
    </row>
    <row r="662" spans="1:11" s="44" customFormat="1" ht="13.5" customHeight="1">
      <c r="A662" s="463" t="s">
        <v>697</v>
      </c>
      <c r="B662" s="463"/>
      <c r="C662" s="438" t="s">
        <v>1429</v>
      </c>
      <c r="D662" s="439" t="s">
        <v>793</v>
      </c>
      <c r="E662" s="440" t="s">
        <v>411</v>
      </c>
      <c r="F662" s="417" t="s">
        <v>692</v>
      </c>
      <c r="G662" s="417" t="s">
        <v>693</v>
      </c>
      <c r="H662" s="417" t="s">
        <v>694</v>
      </c>
      <c r="I662" s="417" t="s">
        <v>695</v>
      </c>
      <c r="J662" s="424" t="s">
        <v>696</v>
      </c>
    </row>
    <row r="663" spans="1:11" s="44" customFormat="1" ht="13.5" customHeight="1">
      <c r="A663" s="446" t="s">
        <v>819</v>
      </c>
      <c r="B663" s="465" t="s">
        <v>409</v>
      </c>
      <c r="C663" s="478">
        <v>706</v>
      </c>
      <c r="D663" s="480" t="s">
        <v>1225</v>
      </c>
      <c r="E663" s="55" t="s">
        <v>15</v>
      </c>
      <c r="F663" s="62">
        <v>1.1000000000000001</v>
      </c>
      <c r="G663" s="149">
        <f>43.36*3</f>
        <v>130.07999999999998</v>
      </c>
      <c r="H663" s="52">
        <f>F663*G663</f>
        <v>143.08799999999999</v>
      </c>
      <c r="I663" s="53"/>
      <c r="J663" s="54">
        <f>F663*G663</f>
        <v>143.08799999999999</v>
      </c>
    </row>
    <row r="664" spans="1:11" s="44" customFormat="1" ht="13.5" customHeight="1">
      <c r="A664" s="446" t="s">
        <v>699</v>
      </c>
      <c r="B664" s="465" t="s">
        <v>409</v>
      </c>
      <c r="C664" s="478" t="s">
        <v>1226</v>
      </c>
      <c r="D664" s="480" t="s">
        <v>1224</v>
      </c>
      <c r="E664" s="55" t="s">
        <v>15</v>
      </c>
      <c r="F664" s="62">
        <v>1.1000000000000001</v>
      </c>
      <c r="G664" s="149">
        <v>43.53</v>
      </c>
      <c r="H664" s="52">
        <f>F664*G664</f>
        <v>47.883000000000003</v>
      </c>
      <c r="I664" s="53"/>
      <c r="J664" s="54">
        <f>F664*G664</f>
        <v>47.883000000000003</v>
      </c>
    </row>
    <row r="665" spans="1:11" s="44" customFormat="1" ht="13.5" customHeight="1">
      <c r="A665" s="446" t="s">
        <v>698</v>
      </c>
      <c r="B665" s="465" t="s">
        <v>406</v>
      </c>
      <c r="C665" s="441">
        <v>88247</v>
      </c>
      <c r="D665" s="447" t="s">
        <v>746</v>
      </c>
      <c r="E665" s="432" t="s">
        <v>740</v>
      </c>
      <c r="F665" s="64">
        <v>0.1</v>
      </c>
      <c r="G665" s="503">
        <v>26.96</v>
      </c>
      <c r="H665" s="55"/>
      <c r="I665" s="56">
        <f>F665*G665</f>
        <v>2.6960000000000002</v>
      </c>
      <c r="J665" s="57">
        <f>F665*G665</f>
        <v>2.6960000000000002</v>
      </c>
      <c r="K665" s="40"/>
    </row>
    <row r="666" spans="1:11" s="44" customFormat="1" ht="13.5" customHeight="1">
      <c r="A666" s="446" t="s">
        <v>698</v>
      </c>
      <c r="B666" s="465" t="s">
        <v>406</v>
      </c>
      <c r="C666" s="441">
        <v>88264</v>
      </c>
      <c r="D666" s="447" t="s">
        <v>747</v>
      </c>
      <c r="E666" s="432" t="s">
        <v>740</v>
      </c>
      <c r="F666" s="64">
        <v>0.1</v>
      </c>
      <c r="G666" s="503">
        <v>32.99</v>
      </c>
      <c r="H666" s="55"/>
      <c r="I666" s="56">
        <f>F666*G666</f>
        <v>3.2990000000000004</v>
      </c>
      <c r="J666" s="57">
        <f>F666*G666</f>
        <v>3.2990000000000004</v>
      </c>
      <c r="K666" s="40"/>
    </row>
    <row r="667" spans="1:11" s="44" customFormat="1" ht="13.5" customHeight="1">
      <c r="A667" s="449"/>
      <c r="B667" s="469"/>
      <c r="C667" s="450"/>
      <c r="D667" s="451" t="s">
        <v>696</v>
      </c>
      <c r="E667" s="470"/>
      <c r="F667" s="61"/>
      <c r="G667" s="58"/>
      <c r="H667" s="59">
        <f>SUM(H663:H666)</f>
        <v>190.971</v>
      </c>
      <c r="I667" s="59">
        <f>SUM(I663:I666)</f>
        <v>5.995000000000001</v>
      </c>
      <c r="J667" s="60">
        <f>SUM(J663:J666)</f>
        <v>196.96600000000001</v>
      </c>
    </row>
    <row r="668" spans="1:11" s="44" customFormat="1" ht="13.5" customHeight="1">
      <c r="A668" s="469" t="s">
        <v>1052</v>
      </c>
      <c r="B668" s="1027" t="s">
        <v>1227</v>
      </c>
      <c r="C668" s="1028"/>
      <c r="D668" s="1028"/>
      <c r="E668" s="457"/>
      <c r="F668" s="457"/>
      <c r="G668" s="457"/>
      <c r="H668" s="457"/>
      <c r="I668" s="457"/>
      <c r="J668" s="458"/>
    </row>
    <row r="669" spans="1:11" s="44" customFormat="1" ht="13.5" customHeight="1">
      <c r="A669" s="401"/>
      <c r="B669" s="401"/>
      <c r="C669" s="401"/>
      <c r="D669" s="401"/>
      <c r="E669" s="63"/>
      <c r="F669" s="63"/>
      <c r="G669" s="63"/>
      <c r="H669" s="63"/>
      <c r="I669" s="63"/>
      <c r="J669" s="63"/>
    </row>
    <row r="670" spans="1:11" s="44" customFormat="1" ht="13.5" customHeight="1">
      <c r="A670" s="463" t="s">
        <v>697</v>
      </c>
      <c r="B670" s="463"/>
      <c r="C670" s="438" t="s">
        <v>1430</v>
      </c>
      <c r="D670" s="498" t="s">
        <v>155</v>
      </c>
      <c r="E670" s="440" t="s">
        <v>411</v>
      </c>
      <c r="F670" s="417" t="s">
        <v>692</v>
      </c>
      <c r="G670" s="504" t="s">
        <v>693</v>
      </c>
      <c r="H670" s="417" t="s">
        <v>694</v>
      </c>
      <c r="I670" s="417" t="s">
        <v>695</v>
      </c>
      <c r="J670" s="424" t="s">
        <v>696</v>
      </c>
    </row>
    <row r="671" spans="1:11" s="44" customFormat="1" ht="13.5" customHeight="1">
      <c r="A671" s="446" t="s">
        <v>699</v>
      </c>
      <c r="B671" s="465" t="s">
        <v>409</v>
      </c>
      <c r="C671" s="478" t="s">
        <v>1233</v>
      </c>
      <c r="D671" s="480" t="s">
        <v>1232</v>
      </c>
      <c r="E671" s="55" t="s">
        <v>15</v>
      </c>
      <c r="F671" s="62">
        <v>1</v>
      </c>
      <c r="G671" s="149">
        <v>8.3699999999999992</v>
      </c>
      <c r="H671" s="52">
        <f>F671*G671</f>
        <v>8.3699999999999992</v>
      </c>
      <c r="I671" s="53"/>
      <c r="J671" s="54">
        <f>F671*G671</f>
        <v>8.3699999999999992</v>
      </c>
    </row>
    <row r="672" spans="1:11" s="44" customFormat="1" ht="13.5" customHeight="1">
      <c r="A672" s="446" t="s">
        <v>698</v>
      </c>
      <c r="B672" s="465" t="s">
        <v>406</v>
      </c>
      <c r="C672" s="441">
        <v>88247</v>
      </c>
      <c r="D672" s="447" t="s">
        <v>746</v>
      </c>
      <c r="E672" s="432" t="s">
        <v>740</v>
      </c>
      <c r="F672" s="111">
        <v>2.3E-2</v>
      </c>
      <c r="G672" s="503">
        <v>26.96</v>
      </c>
      <c r="H672" s="55"/>
      <c r="I672" s="56">
        <f>F672*G672</f>
        <v>0.62007999999999996</v>
      </c>
      <c r="J672" s="57">
        <f>F672*G672</f>
        <v>0.62007999999999996</v>
      </c>
      <c r="K672" s="40"/>
    </row>
    <row r="673" spans="1:20" s="44" customFormat="1" ht="13.5" customHeight="1">
      <c r="A673" s="446" t="s">
        <v>698</v>
      </c>
      <c r="B673" s="465" t="s">
        <v>406</v>
      </c>
      <c r="C673" s="441">
        <v>88264</v>
      </c>
      <c r="D673" s="447" t="s">
        <v>747</v>
      </c>
      <c r="E673" s="432" t="s">
        <v>740</v>
      </c>
      <c r="F673" s="111">
        <v>2.3E-2</v>
      </c>
      <c r="G673" s="503">
        <v>32.99</v>
      </c>
      <c r="H673" s="55"/>
      <c r="I673" s="56">
        <f>F673*G673</f>
        <v>0.75877000000000006</v>
      </c>
      <c r="J673" s="57">
        <f>F673*G673</f>
        <v>0.75877000000000006</v>
      </c>
      <c r="K673" s="40"/>
      <c r="O673" s="253"/>
      <c r="P673" s="255"/>
      <c r="Q673" s="254"/>
      <c r="R673" s="254"/>
      <c r="S673" s="255"/>
      <c r="T673" s="255"/>
    </row>
    <row r="674" spans="1:20" s="44" customFormat="1" ht="13.5" customHeight="1">
      <c r="A674" s="449"/>
      <c r="B674" s="441"/>
      <c r="C674" s="450"/>
      <c r="D674" s="451" t="s">
        <v>696</v>
      </c>
      <c r="E674" s="470"/>
      <c r="F674" s="61"/>
      <c r="G674" s="58"/>
      <c r="H674" s="59">
        <f>SUM(H671:H673)</f>
        <v>8.3699999999999992</v>
      </c>
      <c r="I674" s="59">
        <f>SUM(I671:I673)</f>
        <v>1.3788499999999999</v>
      </c>
      <c r="J674" s="60">
        <f>SUM(J671:J673)</f>
        <v>9.7488499999999991</v>
      </c>
      <c r="O674" s="253"/>
      <c r="P674" s="255"/>
      <c r="Q674" s="254"/>
      <c r="R674" s="254"/>
      <c r="S674" s="255"/>
      <c r="T674" s="255"/>
    </row>
    <row r="675" spans="1:20" s="44" customFormat="1" ht="13.5" customHeight="1">
      <c r="A675" s="469" t="s">
        <v>1052</v>
      </c>
      <c r="B675" s="1027" t="s">
        <v>1229</v>
      </c>
      <c r="C675" s="1028"/>
      <c r="D675" s="1028"/>
      <c r="E675" s="457"/>
      <c r="F675" s="457"/>
      <c r="G675" s="457"/>
      <c r="H675" s="457"/>
      <c r="I675" s="457"/>
      <c r="J675" s="458"/>
      <c r="O675" s="253"/>
      <c r="P675" s="255"/>
      <c r="Q675" s="254"/>
      <c r="R675" s="254"/>
      <c r="S675" s="255"/>
      <c r="T675" s="255"/>
    </row>
    <row r="676" spans="1:20" s="44" customFormat="1" ht="13.5" customHeight="1">
      <c r="A676" s="401"/>
      <c r="B676" s="401"/>
      <c r="C676" s="401"/>
      <c r="D676" s="401"/>
      <c r="E676" s="63"/>
      <c r="F676" s="63"/>
      <c r="G676" s="63"/>
      <c r="H676" s="63"/>
      <c r="I676" s="63"/>
      <c r="J676" s="63"/>
      <c r="O676" s="253"/>
      <c r="P676" s="255"/>
      <c r="Q676" s="254"/>
      <c r="R676" s="254"/>
      <c r="S676" s="255"/>
      <c r="T676" s="255"/>
    </row>
    <row r="677" spans="1:20" s="44" customFormat="1" ht="13.5" customHeight="1">
      <c r="A677" s="463" t="s">
        <v>697</v>
      </c>
      <c r="B677" s="505"/>
      <c r="C677" s="438" t="s">
        <v>1436</v>
      </c>
      <c r="D677" s="498" t="s">
        <v>156</v>
      </c>
      <c r="E677" s="440" t="s">
        <v>411</v>
      </c>
      <c r="F677" s="417" t="s">
        <v>692</v>
      </c>
      <c r="G677" s="417" t="s">
        <v>693</v>
      </c>
      <c r="H677" s="417" t="s">
        <v>694</v>
      </c>
      <c r="I677" s="417" t="s">
        <v>695</v>
      </c>
      <c r="J677" s="424" t="s">
        <v>696</v>
      </c>
      <c r="O677" s="253"/>
      <c r="P677" s="255"/>
      <c r="Q677" s="254"/>
      <c r="R677" s="254"/>
      <c r="S677" s="255"/>
      <c r="T677" s="255"/>
    </row>
    <row r="678" spans="1:20" s="44" customFormat="1" ht="13.5" customHeight="1">
      <c r="A678" s="446" t="s">
        <v>699</v>
      </c>
      <c r="B678" s="465" t="s">
        <v>409</v>
      </c>
      <c r="C678" s="478" t="s">
        <v>1234</v>
      </c>
      <c r="D678" s="480" t="s">
        <v>1231</v>
      </c>
      <c r="E678" s="55" t="s">
        <v>15</v>
      </c>
      <c r="F678" s="62">
        <v>1</v>
      </c>
      <c r="G678" s="149">
        <v>48.33</v>
      </c>
      <c r="H678" s="52">
        <f>F678*G678</f>
        <v>48.33</v>
      </c>
      <c r="I678" s="53"/>
      <c r="J678" s="54">
        <f>F678*G678</f>
        <v>48.33</v>
      </c>
      <c r="O678" s="253"/>
      <c r="P678" s="255"/>
      <c r="Q678" s="254"/>
      <c r="R678" s="254"/>
      <c r="S678" s="255"/>
      <c r="T678" s="255"/>
    </row>
    <row r="679" spans="1:20" s="44" customFormat="1" ht="13.5" customHeight="1">
      <c r="A679" s="446" t="s">
        <v>698</v>
      </c>
      <c r="B679" s="465" t="s">
        <v>406</v>
      </c>
      <c r="C679" s="441">
        <v>88247</v>
      </c>
      <c r="D679" s="447" t="s">
        <v>746</v>
      </c>
      <c r="E679" s="432" t="s">
        <v>740</v>
      </c>
      <c r="F679" s="111">
        <v>0.3</v>
      </c>
      <c r="G679" s="503">
        <v>26.96</v>
      </c>
      <c r="H679" s="55"/>
      <c r="I679" s="56">
        <f>F679*G679</f>
        <v>8.0879999999999992</v>
      </c>
      <c r="J679" s="57">
        <f>F679*G679</f>
        <v>8.0879999999999992</v>
      </c>
      <c r="K679" s="150"/>
      <c r="O679" s="253"/>
      <c r="P679" s="255"/>
      <c r="Q679" s="254"/>
      <c r="R679" s="254"/>
      <c r="S679" s="255"/>
      <c r="T679" s="255"/>
    </row>
    <row r="680" spans="1:20" s="44" customFormat="1" ht="13.5" customHeight="1">
      <c r="A680" s="446" t="s">
        <v>698</v>
      </c>
      <c r="B680" s="465" t="s">
        <v>406</v>
      </c>
      <c r="C680" s="441">
        <v>88264</v>
      </c>
      <c r="D680" s="447" t="s">
        <v>747</v>
      </c>
      <c r="E680" s="432" t="s">
        <v>740</v>
      </c>
      <c r="F680" s="111">
        <v>0.3</v>
      </c>
      <c r="G680" s="503">
        <v>32.99</v>
      </c>
      <c r="H680" s="55"/>
      <c r="I680" s="56">
        <f>F680*G680</f>
        <v>9.8970000000000002</v>
      </c>
      <c r="J680" s="57">
        <f>F680*G680</f>
        <v>9.8970000000000002</v>
      </c>
      <c r="K680" s="150"/>
      <c r="O680" s="253"/>
      <c r="P680" s="255"/>
      <c r="Q680" s="254"/>
      <c r="R680" s="254"/>
      <c r="S680" s="255"/>
      <c r="T680" s="255"/>
    </row>
    <row r="681" spans="1:20" s="44" customFormat="1" ht="13.5" customHeight="1">
      <c r="A681" s="449"/>
      <c r="B681" s="469"/>
      <c r="C681" s="450"/>
      <c r="D681" s="451" t="s">
        <v>696</v>
      </c>
      <c r="E681" s="470"/>
      <c r="F681" s="61"/>
      <c r="G681" s="58"/>
      <c r="H681" s="59">
        <f>SUM(H678:H680)</f>
        <v>48.33</v>
      </c>
      <c r="I681" s="59">
        <f>SUM(I678:I680)</f>
        <v>17.984999999999999</v>
      </c>
      <c r="J681" s="60">
        <f>SUM(J678:J680)</f>
        <v>66.314999999999998</v>
      </c>
      <c r="O681" s="253"/>
      <c r="P681" s="255"/>
      <c r="Q681" s="254"/>
      <c r="R681" s="254"/>
      <c r="S681" s="255"/>
      <c r="T681" s="255"/>
    </row>
    <row r="682" spans="1:20" s="44" customFormat="1" ht="13.5" customHeight="1">
      <c r="A682" s="469" t="s">
        <v>1052</v>
      </c>
      <c r="B682" s="1027" t="s">
        <v>1237</v>
      </c>
      <c r="C682" s="1028"/>
      <c r="D682" s="1028"/>
      <c r="E682" s="457"/>
      <c r="F682" s="457"/>
      <c r="G682" s="457"/>
      <c r="H682" s="457"/>
      <c r="I682" s="457"/>
      <c r="J682" s="458"/>
      <c r="O682" s="253"/>
      <c r="P682" s="255"/>
      <c r="Q682" s="254"/>
      <c r="R682" s="254"/>
      <c r="S682" s="255"/>
      <c r="T682" s="255"/>
    </row>
    <row r="683" spans="1:20" s="44" customFormat="1" ht="13.5" customHeight="1">
      <c r="A683" s="401"/>
      <c r="B683" s="401"/>
      <c r="C683" s="401"/>
      <c r="D683" s="401"/>
      <c r="E683" s="63"/>
      <c r="F683" s="63"/>
      <c r="G683" s="63"/>
      <c r="H683" s="63"/>
      <c r="I683" s="63"/>
      <c r="J683" s="63"/>
      <c r="O683" s="253"/>
      <c r="P683" s="255"/>
      <c r="Q683" s="254"/>
      <c r="R683" s="254"/>
      <c r="S683" s="255"/>
      <c r="T683" s="255"/>
    </row>
    <row r="684" spans="1:20" s="44" customFormat="1" ht="13.5" customHeight="1">
      <c r="A684" s="463" t="s">
        <v>697</v>
      </c>
      <c r="B684" s="463"/>
      <c r="C684" s="438" t="s">
        <v>1437</v>
      </c>
      <c r="D684" s="498" t="s">
        <v>157</v>
      </c>
      <c r="E684" s="440" t="s">
        <v>411</v>
      </c>
      <c r="F684" s="417" t="s">
        <v>692</v>
      </c>
      <c r="G684" s="417" t="s">
        <v>693</v>
      </c>
      <c r="H684" s="417" t="s">
        <v>694</v>
      </c>
      <c r="I684" s="417" t="s">
        <v>695</v>
      </c>
      <c r="J684" s="424" t="s">
        <v>696</v>
      </c>
      <c r="O684" s="253"/>
      <c r="P684" s="255"/>
      <c r="Q684" s="254"/>
      <c r="R684" s="254"/>
      <c r="S684" s="255"/>
      <c r="T684" s="255"/>
    </row>
    <row r="685" spans="1:20" s="44" customFormat="1" ht="13.5" customHeight="1">
      <c r="A685" s="446" t="s">
        <v>699</v>
      </c>
      <c r="B685" s="465" t="s">
        <v>409</v>
      </c>
      <c r="C685" s="478" t="s">
        <v>1239</v>
      </c>
      <c r="D685" s="480" t="s">
        <v>1240</v>
      </c>
      <c r="E685" s="55" t="s">
        <v>15</v>
      </c>
      <c r="F685" s="62">
        <v>1</v>
      </c>
      <c r="G685" s="149">
        <v>53.5</v>
      </c>
      <c r="H685" s="52">
        <f>F685*G685</f>
        <v>53.5</v>
      </c>
      <c r="I685" s="53"/>
      <c r="J685" s="54">
        <f>F685*G685</f>
        <v>53.5</v>
      </c>
      <c r="O685" s="253"/>
      <c r="P685" s="255"/>
      <c r="Q685" s="254"/>
      <c r="R685" s="254"/>
      <c r="S685" s="255"/>
      <c r="T685" s="255"/>
    </row>
    <row r="686" spans="1:20" s="44" customFormat="1" ht="13.5" customHeight="1">
      <c r="A686" s="446" t="s">
        <v>698</v>
      </c>
      <c r="B686" s="465" t="s">
        <v>406</v>
      </c>
      <c r="C686" s="441">
        <v>88247</v>
      </c>
      <c r="D686" s="447" t="s">
        <v>746</v>
      </c>
      <c r="E686" s="432" t="s">
        <v>740</v>
      </c>
      <c r="F686" s="111">
        <v>0.3</v>
      </c>
      <c r="G686" s="503">
        <v>26.96</v>
      </c>
      <c r="H686" s="55"/>
      <c r="I686" s="56">
        <f>F686*G686</f>
        <v>8.0879999999999992</v>
      </c>
      <c r="J686" s="57">
        <f>F686*G686</f>
        <v>8.0879999999999992</v>
      </c>
      <c r="K686" s="40"/>
      <c r="O686" s="253"/>
      <c r="P686" s="255"/>
      <c r="Q686" s="254"/>
      <c r="R686" s="254"/>
      <c r="S686" s="255"/>
      <c r="T686" s="255"/>
    </row>
    <row r="687" spans="1:20" s="44" customFormat="1" ht="13.5" customHeight="1">
      <c r="A687" s="446" t="s">
        <v>698</v>
      </c>
      <c r="B687" s="465" t="s">
        <v>406</v>
      </c>
      <c r="C687" s="441">
        <v>88264</v>
      </c>
      <c r="D687" s="447" t="s">
        <v>747</v>
      </c>
      <c r="E687" s="432" t="s">
        <v>740</v>
      </c>
      <c r="F687" s="111">
        <v>0.3</v>
      </c>
      <c r="G687" s="503">
        <v>32.99</v>
      </c>
      <c r="H687" s="55"/>
      <c r="I687" s="56">
        <f>F687*G687</f>
        <v>9.8970000000000002</v>
      </c>
      <c r="J687" s="57">
        <f>F687*G687</f>
        <v>9.8970000000000002</v>
      </c>
      <c r="K687" s="40"/>
      <c r="O687" s="253"/>
      <c r="P687" s="255"/>
      <c r="Q687" s="254"/>
      <c r="R687" s="254"/>
      <c r="S687" s="255"/>
      <c r="T687" s="255"/>
    </row>
    <row r="688" spans="1:20" s="44" customFormat="1" ht="13.5" customHeight="1">
      <c r="A688" s="449"/>
      <c r="B688" s="469"/>
      <c r="C688" s="450"/>
      <c r="D688" s="451" t="s">
        <v>696</v>
      </c>
      <c r="E688" s="470"/>
      <c r="F688" s="61"/>
      <c r="G688" s="58"/>
      <c r="H688" s="59">
        <f>SUM(H685:H687)</f>
        <v>53.5</v>
      </c>
      <c r="I688" s="59">
        <f>SUM(I685:I687)</f>
        <v>17.984999999999999</v>
      </c>
      <c r="J688" s="60">
        <f>SUM(J685:J687)</f>
        <v>71.484999999999999</v>
      </c>
      <c r="O688" s="253"/>
      <c r="P688" s="255"/>
      <c r="Q688" s="254"/>
      <c r="R688" s="254"/>
      <c r="S688" s="255"/>
      <c r="T688" s="255"/>
    </row>
    <row r="689" spans="1:20" s="44" customFormat="1" ht="13.5" customHeight="1">
      <c r="A689" s="469" t="s">
        <v>1052</v>
      </c>
      <c r="B689" s="1027" t="s">
        <v>1237</v>
      </c>
      <c r="C689" s="1028"/>
      <c r="D689" s="1028"/>
      <c r="E689" s="457"/>
      <c r="F689" s="457"/>
      <c r="G689" s="457"/>
      <c r="H689" s="457"/>
      <c r="I689" s="457"/>
      <c r="J689" s="458"/>
      <c r="O689" s="253"/>
      <c r="P689" s="255"/>
      <c r="Q689" s="254"/>
      <c r="R689" s="254"/>
      <c r="S689" s="255"/>
      <c r="T689" s="255"/>
    </row>
    <row r="690" spans="1:20" s="44" customFormat="1" ht="13.5" customHeight="1">
      <c r="A690" s="401"/>
      <c r="B690" s="401"/>
      <c r="C690" s="401"/>
      <c r="D690" s="401"/>
      <c r="E690" s="63"/>
      <c r="F690" s="63"/>
      <c r="G690" s="63"/>
      <c r="H690" s="63"/>
      <c r="I690" s="63"/>
      <c r="J690" s="63"/>
      <c r="O690" s="253"/>
      <c r="P690" s="255"/>
      <c r="Q690" s="254"/>
      <c r="R690" s="254"/>
      <c r="S690" s="255"/>
      <c r="T690" s="255"/>
    </row>
    <row r="691" spans="1:20" s="44" customFormat="1" ht="13.5" customHeight="1">
      <c r="A691" s="463" t="s">
        <v>697</v>
      </c>
      <c r="B691" s="505"/>
      <c r="C691" s="438" t="s">
        <v>1438</v>
      </c>
      <c r="D691" s="498" t="s">
        <v>1241</v>
      </c>
      <c r="E691" s="440" t="s">
        <v>411</v>
      </c>
      <c r="F691" s="417" t="s">
        <v>692</v>
      </c>
      <c r="G691" s="417" t="s">
        <v>693</v>
      </c>
      <c r="H691" s="417" t="s">
        <v>694</v>
      </c>
      <c r="I691" s="417" t="s">
        <v>695</v>
      </c>
      <c r="J691" s="424" t="s">
        <v>696</v>
      </c>
      <c r="O691" s="253"/>
      <c r="P691" s="255"/>
      <c r="Q691" s="254"/>
      <c r="R691" s="254"/>
      <c r="S691" s="255"/>
      <c r="T691" s="255"/>
    </row>
    <row r="692" spans="1:20" s="44" customFormat="1" ht="13.5" customHeight="1">
      <c r="A692" s="446" t="s">
        <v>699</v>
      </c>
      <c r="B692" s="465" t="s">
        <v>409</v>
      </c>
      <c r="C692" s="478" t="s">
        <v>1243</v>
      </c>
      <c r="D692" s="506" t="s">
        <v>1241</v>
      </c>
      <c r="E692" s="55" t="s">
        <v>15</v>
      </c>
      <c r="F692" s="62">
        <v>1</v>
      </c>
      <c r="G692" s="149">
        <v>71.88</v>
      </c>
      <c r="H692" s="52">
        <f>F692*G692</f>
        <v>71.88</v>
      </c>
      <c r="I692" s="53"/>
      <c r="J692" s="54">
        <f>F692*G692</f>
        <v>71.88</v>
      </c>
      <c r="O692" s="253"/>
      <c r="P692" s="255"/>
      <c r="Q692" s="254"/>
      <c r="R692" s="254"/>
      <c r="S692" s="255"/>
      <c r="T692" s="255"/>
    </row>
    <row r="693" spans="1:20" s="44" customFormat="1" ht="13.5" customHeight="1">
      <c r="A693" s="446" t="s">
        <v>698</v>
      </c>
      <c r="B693" s="465" t="s">
        <v>406</v>
      </c>
      <c r="C693" s="441">
        <v>88247</v>
      </c>
      <c r="D693" s="447" t="s">
        <v>746</v>
      </c>
      <c r="E693" s="432" t="s">
        <v>740</v>
      </c>
      <c r="F693" s="111">
        <v>0.3</v>
      </c>
      <c r="G693" s="503">
        <v>26.96</v>
      </c>
      <c r="H693" s="55"/>
      <c r="I693" s="56">
        <f>F693*G693</f>
        <v>8.0879999999999992</v>
      </c>
      <c r="J693" s="57">
        <f>F693*G693</f>
        <v>8.0879999999999992</v>
      </c>
      <c r="K693" s="40"/>
      <c r="O693" s="253"/>
      <c r="P693" s="255"/>
      <c r="Q693" s="254"/>
      <c r="R693" s="254"/>
      <c r="S693" s="255"/>
      <c r="T693" s="255"/>
    </row>
    <row r="694" spans="1:20" s="44" customFormat="1" ht="13.5" customHeight="1">
      <c r="A694" s="446" t="s">
        <v>698</v>
      </c>
      <c r="B694" s="465" t="s">
        <v>406</v>
      </c>
      <c r="C694" s="441">
        <v>88264</v>
      </c>
      <c r="D694" s="447" t="s">
        <v>747</v>
      </c>
      <c r="E694" s="432" t="s">
        <v>740</v>
      </c>
      <c r="F694" s="111">
        <v>0.3</v>
      </c>
      <c r="G694" s="503">
        <v>32.99</v>
      </c>
      <c r="H694" s="55"/>
      <c r="I694" s="56">
        <f>F694*G694</f>
        <v>9.8970000000000002</v>
      </c>
      <c r="J694" s="57">
        <f>F694*G694</f>
        <v>9.8970000000000002</v>
      </c>
      <c r="K694" s="40"/>
      <c r="O694" s="253"/>
      <c r="P694" s="255"/>
      <c r="Q694" s="254"/>
      <c r="R694" s="254"/>
      <c r="S694" s="255"/>
      <c r="T694" s="255"/>
    </row>
    <row r="695" spans="1:20" s="44" customFormat="1" ht="13.5" customHeight="1">
      <c r="A695" s="449"/>
      <c r="B695" s="469"/>
      <c r="C695" s="450"/>
      <c r="D695" s="451" t="s">
        <v>696</v>
      </c>
      <c r="E695" s="470"/>
      <c r="F695" s="61"/>
      <c r="G695" s="58"/>
      <c r="H695" s="59">
        <f>SUM(H692:H694)</f>
        <v>71.88</v>
      </c>
      <c r="I695" s="59">
        <f>SUM(I692:I694)</f>
        <v>17.984999999999999</v>
      </c>
      <c r="J695" s="60">
        <f>SUM(J692:J694)</f>
        <v>89.864999999999995</v>
      </c>
      <c r="O695" s="253"/>
      <c r="P695" s="255"/>
      <c r="Q695" s="254"/>
      <c r="R695" s="254"/>
      <c r="S695" s="255"/>
      <c r="T695" s="255"/>
    </row>
    <row r="696" spans="1:20" s="44" customFormat="1" ht="13.5" customHeight="1">
      <c r="A696" s="469" t="s">
        <v>1052</v>
      </c>
      <c r="B696" s="1027" t="s">
        <v>1244</v>
      </c>
      <c r="C696" s="1028"/>
      <c r="D696" s="1028"/>
      <c r="E696" s="457"/>
      <c r="F696" s="457"/>
      <c r="G696" s="457"/>
      <c r="H696" s="457"/>
      <c r="I696" s="457"/>
      <c r="J696" s="458"/>
      <c r="O696" s="253"/>
      <c r="P696" s="255"/>
      <c r="Q696" s="254"/>
      <c r="R696" s="254"/>
      <c r="S696" s="255"/>
      <c r="T696" s="255"/>
    </row>
    <row r="697" spans="1:20" s="44" customFormat="1" ht="13.5" customHeight="1">
      <c r="A697" s="401"/>
      <c r="B697" s="401"/>
      <c r="C697" s="401"/>
      <c r="D697" s="401"/>
      <c r="E697" s="63"/>
      <c r="F697" s="63"/>
      <c r="G697" s="63"/>
      <c r="H697" s="63"/>
      <c r="I697" s="63"/>
      <c r="J697" s="63"/>
      <c r="O697" s="253"/>
      <c r="P697" s="255"/>
      <c r="Q697" s="254"/>
      <c r="R697" s="254"/>
      <c r="S697" s="255"/>
      <c r="T697" s="255"/>
    </row>
    <row r="698" spans="1:20" s="44" customFormat="1" ht="13.5" customHeight="1">
      <c r="A698" s="463" t="s">
        <v>697</v>
      </c>
      <c r="B698" s="505"/>
      <c r="C698" s="438" t="s">
        <v>1439</v>
      </c>
      <c r="D698" s="506" t="s">
        <v>158</v>
      </c>
      <c r="E698" s="440" t="s">
        <v>411</v>
      </c>
      <c r="F698" s="417" t="s">
        <v>692</v>
      </c>
      <c r="G698" s="417" t="s">
        <v>693</v>
      </c>
      <c r="H698" s="417" t="s">
        <v>694</v>
      </c>
      <c r="I698" s="417" t="s">
        <v>695</v>
      </c>
      <c r="J698" s="424" t="s">
        <v>696</v>
      </c>
      <c r="O698" s="253"/>
      <c r="P698" s="255"/>
      <c r="Q698" s="254"/>
      <c r="R698" s="254"/>
      <c r="S698" s="255"/>
      <c r="T698" s="255"/>
    </row>
    <row r="699" spans="1:20" s="44" customFormat="1" ht="13.5" customHeight="1">
      <c r="A699" s="446" t="s">
        <v>699</v>
      </c>
      <c r="B699" s="465" t="s">
        <v>409</v>
      </c>
      <c r="C699" s="478" t="s">
        <v>1246</v>
      </c>
      <c r="D699" s="506" t="s">
        <v>1247</v>
      </c>
      <c r="E699" s="55" t="s">
        <v>15</v>
      </c>
      <c r="F699" s="62">
        <v>1</v>
      </c>
      <c r="G699" s="149">
        <v>2.6</v>
      </c>
      <c r="H699" s="52">
        <f>F699*G699</f>
        <v>2.6</v>
      </c>
      <c r="I699" s="53"/>
      <c r="J699" s="54">
        <f>F699*G699</f>
        <v>2.6</v>
      </c>
      <c r="O699" s="253"/>
      <c r="P699" s="255"/>
      <c r="Q699" s="254"/>
      <c r="R699" s="254"/>
      <c r="S699" s="255"/>
      <c r="T699" s="255"/>
    </row>
    <row r="700" spans="1:20" s="44" customFormat="1" ht="13.5" customHeight="1">
      <c r="A700" s="446" t="s">
        <v>698</v>
      </c>
      <c r="B700" s="465" t="s">
        <v>406</v>
      </c>
      <c r="C700" s="441">
        <v>88247</v>
      </c>
      <c r="D700" s="447" t="s">
        <v>746</v>
      </c>
      <c r="E700" s="432" t="s">
        <v>740</v>
      </c>
      <c r="F700" s="64">
        <v>0.15</v>
      </c>
      <c r="G700" s="503">
        <v>26.96</v>
      </c>
      <c r="H700" s="55"/>
      <c r="I700" s="56">
        <f>F700*G700</f>
        <v>4.0439999999999996</v>
      </c>
      <c r="J700" s="57">
        <f>F700*G700</f>
        <v>4.0439999999999996</v>
      </c>
      <c r="K700" s="40"/>
      <c r="O700" s="253"/>
      <c r="P700" s="255"/>
      <c r="Q700" s="254"/>
      <c r="R700" s="254"/>
      <c r="S700" s="255"/>
      <c r="T700" s="255"/>
    </row>
    <row r="701" spans="1:20" s="44" customFormat="1" ht="13.5" customHeight="1">
      <c r="A701" s="446" t="s">
        <v>698</v>
      </c>
      <c r="B701" s="465" t="s">
        <v>406</v>
      </c>
      <c r="C701" s="441">
        <v>88264</v>
      </c>
      <c r="D701" s="447" t="s">
        <v>747</v>
      </c>
      <c r="E701" s="432" t="s">
        <v>740</v>
      </c>
      <c r="F701" s="64">
        <v>0.15</v>
      </c>
      <c r="G701" s="503">
        <v>32.99</v>
      </c>
      <c r="H701" s="55"/>
      <c r="I701" s="56">
        <f>F701*G701</f>
        <v>4.9485000000000001</v>
      </c>
      <c r="J701" s="57">
        <f>F701*G701</f>
        <v>4.9485000000000001</v>
      </c>
      <c r="K701" s="40"/>
      <c r="O701" s="253"/>
      <c r="P701" s="255"/>
      <c r="Q701" s="254"/>
      <c r="R701" s="254"/>
      <c r="S701" s="255"/>
      <c r="T701" s="255"/>
    </row>
    <row r="702" spans="1:20" s="44" customFormat="1" ht="13.5" customHeight="1">
      <c r="A702" s="449"/>
      <c r="B702" s="469"/>
      <c r="C702" s="450"/>
      <c r="D702" s="451" t="s">
        <v>696</v>
      </c>
      <c r="E702" s="470"/>
      <c r="F702" s="61"/>
      <c r="G702" s="58"/>
      <c r="H702" s="59">
        <f>SUM(H699:H701)</f>
        <v>2.6</v>
      </c>
      <c r="I702" s="59">
        <f>SUM(I699:I701)</f>
        <v>8.9924999999999997</v>
      </c>
      <c r="J702" s="60">
        <f>SUM(J699:J701)</f>
        <v>11.592500000000001</v>
      </c>
      <c r="O702" s="253"/>
      <c r="P702" s="255"/>
      <c r="Q702" s="254"/>
      <c r="R702" s="254"/>
      <c r="S702" s="255"/>
      <c r="T702" s="255"/>
    </row>
    <row r="703" spans="1:20" s="44" customFormat="1" ht="13.5" customHeight="1">
      <c r="A703" s="469" t="s">
        <v>1052</v>
      </c>
      <c r="B703" s="1027" t="s">
        <v>1248</v>
      </c>
      <c r="C703" s="1028"/>
      <c r="D703" s="1028"/>
      <c r="E703" s="457"/>
      <c r="F703" s="457"/>
      <c r="G703" s="457"/>
      <c r="H703" s="457"/>
      <c r="I703" s="457"/>
      <c r="J703" s="458"/>
      <c r="O703" s="253"/>
      <c r="P703" s="255"/>
      <c r="Q703" s="254"/>
      <c r="R703" s="254"/>
      <c r="S703" s="255"/>
      <c r="T703" s="255"/>
    </row>
    <row r="704" spans="1:20" s="44" customFormat="1" ht="13.5" customHeight="1">
      <c r="A704" s="401"/>
      <c r="B704" s="401"/>
      <c r="C704" s="401"/>
      <c r="D704" s="401"/>
      <c r="E704" s="63"/>
      <c r="F704" s="63"/>
      <c r="G704" s="63"/>
      <c r="H704" s="63"/>
      <c r="I704" s="63"/>
      <c r="J704" s="63"/>
      <c r="O704" s="253"/>
      <c r="P704" s="255"/>
      <c r="Q704" s="254"/>
      <c r="R704" s="254"/>
      <c r="S704" s="255"/>
      <c r="T704" s="255"/>
    </row>
    <row r="705" spans="1:24" s="44" customFormat="1" ht="13.5" customHeight="1">
      <c r="A705" s="463" t="s">
        <v>697</v>
      </c>
      <c r="B705" s="505"/>
      <c r="C705" s="438" t="s">
        <v>1440</v>
      </c>
      <c r="D705" s="498" t="s">
        <v>159</v>
      </c>
      <c r="E705" s="440" t="s">
        <v>411</v>
      </c>
      <c r="F705" s="417" t="s">
        <v>692</v>
      </c>
      <c r="G705" s="417" t="s">
        <v>693</v>
      </c>
      <c r="H705" s="417" t="s">
        <v>694</v>
      </c>
      <c r="I705" s="417" t="s">
        <v>695</v>
      </c>
      <c r="J705" s="424" t="s">
        <v>696</v>
      </c>
      <c r="O705" s="253"/>
      <c r="P705" s="255"/>
      <c r="Q705" s="254"/>
      <c r="R705" s="254"/>
      <c r="S705" s="255"/>
      <c r="T705" s="255"/>
    </row>
    <row r="706" spans="1:24" s="44" customFormat="1" ht="13.5" customHeight="1">
      <c r="A706" s="446" t="s">
        <v>699</v>
      </c>
      <c r="B706" s="465" t="s">
        <v>409</v>
      </c>
      <c r="C706" s="478" t="s">
        <v>1250</v>
      </c>
      <c r="D706" s="506" t="s">
        <v>159</v>
      </c>
      <c r="E706" s="55" t="s">
        <v>15</v>
      </c>
      <c r="F706" s="62">
        <v>1</v>
      </c>
      <c r="G706" s="149">
        <v>10.56</v>
      </c>
      <c r="H706" s="52">
        <f>F706*G706</f>
        <v>10.56</v>
      </c>
      <c r="I706" s="53"/>
      <c r="J706" s="54">
        <f>F706*G706</f>
        <v>10.56</v>
      </c>
      <c r="L706" s="255"/>
      <c r="O706" s="253"/>
      <c r="P706" s="255"/>
      <c r="Q706" s="254"/>
      <c r="R706" s="254"/>
      <c r="S706" s="255"/>
      <c r="T706" s="255"/>
      <c r="V706" s="255"/>
      <c r="W706" s="254"/>
      <c r="X706" s="255"/>
    </row>
    <row r="707" spans="1:24" s="44" customFormat="1" ht="13.5" customHeight="1">
      <c r="A707" s="446" t="s">
        <v>698</v>
      </c>
      <c r="B707" s="465" t="s">
        <v>406</v>
      </c>
      <c r="C707" s="441">
        <v>88247</v>
      </c>
      <c r="D707" s="447" t="s">
        <v>746</v>
      </c>
      <c r="E707" s="432" t="s">
        <v>740</v>
      </c>
      <c r="F707" s="64">
        <v>0.2</v>
      </c>
      <c r="G707" s="503">
        <v>26.96</v>
      </c>
      <c r="H707" s="55"/>
      <c r="I707" s="56">
        <f>F707*G707</f>
        <v>5.3920000000000003</v>
      </c>
      <c r="J707" s="57">
        <f>F707*G707</f>
        <v>5.3920000000000003</v>
      </c>
      <c r="K707" s="40"/>
      <c r="L707" s="255"/>
      <c r="O707" s="253"/>
      <c r="P707" s="255"/>
      <c r="Q707" s="254"/>
      <c r="R707" s="254"/>
      <c r="S707" s="255"/>
      <c r="T707" s="255"/>
      <c r="V707" s="255"/>
      <c r="W707" s="254"/>
      <c r="X707" s="255"/>
    </row>
    <row r="708" spans="1:24" s="44" customFormat="1" ht="13.5" customHeight="1">
      <c r="A708" s="446" t="s">
        <v>698</v>
      </c>
      <c r="B708" s="465" t="s">
        <v>406</v>
      </c>
      <c r="C708" s="441">
        <v>88264</v>
      </c>
      <c r="D708" s="447" t="s">
        <v>747</v>
      </c>
      <c r="E708" s="432" t="s">
        <v>740</v>
      </c>
      <c r="F708" s="64">
        <v>0.2</v>
      </c>
      <c r="G708" s="503">
        <v>32.99</v>
      </c>
      <c r="H708" s="55"/>
      <c r="I708" s="56">
        <f>F708*G708</f>
        <v>6.5980000000000008</v>
      </c>
      <c r="J708" s="57">
        <f>F708*G708</f>
        <v>6.5980000000000008</v>
      </c>
      <c r="K708" s="40"/>
      <c r="L708" s="255"/>
      <c r="O708" s="253"/>
      <c r="P708" s="255"/>
      <c r="Q708" s="254"/>
      <c r="R708" s="254"/>
      <c r="S708" s="255"/>
      <c r="T708" s="255"/>
      <c r="V708" s="255"/>
      <c r="W708" s="254"/>
      <c r="X708" s="255"/>
    </row>
    <row r="709" spans="1:24" s="44" customFormat="1" ht="13.5" customHeight="1">
      <c r="A709" s="449"/>
      <c r="B709" s="469"/>
      <c r="C709" s="450"/>
      <c r="D709" s="451" t="s">
        <v>696</v>
      </c>
      <c r="E709" s="470"/>
      <c r="F709" s="61"/>
      <c r="G709" s="58"/>
      <c r="H709" s="59">
        <f>SUM(H706:H708)</f>
        <v>10.56</v>
      </c>
      <c r="I709" s="59">
        <f>SUM(I706:I708)</f>
        <v>11.990000000000002</v>
      </c>
      <c r="J709" s="60">
        <f>SUM(J706:J708)</f>
        <v>22.550000000000004</v>
      </c>
      <c r="L709" s="256"/>
      <c r="O709" s="253"/>
      <c r="P709" s="255"/>
      <c r="Q709" s="254"/>
      <c r="R709" s="254"/>
      <c r="S709" s="255"/>
      <c r="T709" s="255"/>
      <c r="V709" s="255"/>
      <c r="W709" s="254"/>
      <c r="X709" s="255"/>
    </row>
    <row r="710" spans="1:24" s="44" customFormat="1" ht="13.5" customHeight="1">
      <c r="A710" s="469" t="s">
        <v>1052</v>
      </c>
      <c r="B710" s="1027" t="s">
        <v>1251</v>
      </c>
      <c r="C710" s="1028"/>
      <c r="D710" s="1028"/>
      <c r="E710" s="457"/>
      <c r="F710" s="457"/>
      <c r="G710" s="457"/>
      <c r="H710" s="457"/>
      <c r="I710" s="457"/>
      <c r="J710" s="458"/>
      <c r="L710" s="256"/>
      <c r="O710" s="253"/>
      <c r="P710" s="255"/>
      <c r="Q710" s="254"/>
      <c r="R710" s="254"/>
      <c r="S710" s="255"/>
      <c r="T710" s="255"/>
      <c r="V710" s="255"/>
      <c r="W710" s="254"/>
      <c r="X710" s="255"/>
    </row>
    <row r="711" spans="1:24" s="44" customFormat="1" ht="13.5" customHeight="1">
      <c r="A711" s="401"/>
      <c r="B711" s="401"/>
      <c r="C711" s="401"/>
      <c r="D711" s="401"/>
      <c r="E711" s="63"/>
      <c r="F711" s="63"/>
      <c r="G711" s="63"/>
      <c r="H711" s="63"/>
      <c r="I711" s="63"/>
      <c r="J711" s="63"/>
      <c r="O711" s="253"/>
      <c r="P711" s="255"/>
      <c r="Q711" s="254"/>
      <c r="R711" s="254"/>
      <c r="S711" s="255"/>
      <c r="T711" s="255"/>
      <c r="V711" s="255"/>
      <c r="W711" s="254"/>
      <c r="X711" s="255"/>
    </row>
    <row r="712" spans="1:24" s="44" customFormat="1" ht="13.5" customHeight="1">
      <c r="A712" s="463" t="s">
        <v>697</v>
      </c>
      <c r="B712" s="505"/>
      <c r="C712" s="438" t="s">
        <v>1137</v>
      </c>
      <c r="D712" s="498" t="s">
        <v>160</v>
      </c>
      <c r="E712" s="440" t="s">
        <v>411</v>
      </c>
      <c r="F712" s="417" t="s">
        <v>692</v>
      </c>
      <c r="G712" s="417" t="s">
        <v>693</v>
      </c>
      <c r="H712" s="417" t="s">
        <v>694</v>
      </c>
      <c r="I712" s="417" t="s">
        <v>695</v>
      </c>
      <c r="J712" s="424" t="s">
        <v>696</v>
      </c>
      <c r="O712" s="253"/>
      <c r="P712" s="255"/>
      <c r="Q712" s="254"/>
      <c r="R712" s="254"/>
      <c r="S712" s="255"/>
      <c r="T712" s="255"/>
      <c r="V712" s="255"/>
      <c r="W712" s="254"/>
      <c r="X712" s="255"/>
    </row>
    <row r="713" spans="1:24" s="44" customFormat="1" ht="13.5" customHeight="1">
      <c r="A713" s="446" t="s">
        <v>699</v>
      </c>
      <c r="B713" s="465" t="s">
        <v>409</v>
      </c>
      <c r="C713" s="478" t="s">
        <v>1253</v>
      </c>
      <c r="D713" s="506" t="s">
        <v>1254</v>
      </c>
      <c r="E713" s="55" t="s">
        <v>15</v>
      </c>
      <c r="F713" s="62">
        <v>1</v>
      </c>
      <c r="G713" s="149">
        <v>7.35</v>
      </c>
      <c r="H713" s="52">
        <f>F713*G713</f>
        <v>7.35</v>
      </c>
      <c r="I713" s="53"/>
      <c r="J713" s="54">
        <f>F713*G713</f>
        <v>7.35</v>
      </c>
      <c r="O713" s="253"/>
      <c r="P713" s="255"/>
      <c r="Q713" s="254"/>
      <c r="R713" s="254"/>
      <c r="S713" s="255"/>
      <c r="T713" s="255"/>
      <c r="V713" s="255"/>
      <c r="W713" s="254"/>
      <c r="X713" s="255"/>
    </row>
    <row r="714" spans="1:24" s="44" customFormat="1" ht="13.5" customHeight="1">
      <c r="A714" s="446" t="s">
        <v>698</v>
      </c>
      <c r="B714" s="465" t="s">
        <v>406</v>
      </c>
      <c r="C714" s="441">
        <v>88264</v>
      </c>
      <c r="D714" s="447" t="s">
        <v>747</v>
      </c>
      <c r="E714" s="432" t="s">
        <v>740</v>
      </c>
      <c r="F714" s="64">
        <v>0.2</v>
      </c>
      <c r="G714" s="503">
        <v>32.99</v>
      </c>
      <c r="H714" s="55"/>
      <c r="I714" s="56">
        <f>F714*G714</f>
        <v>6.5980000000000008</v>
      </c>
      <c r="J714" s="57">
        <f>F714*G714</f>
        <v>6.5980000000000008</v>
      </c>
      <c r="K714" s="40"/>
      <c r="O714" s="253"/>
      <c r="P714" s="255"/>
      <c r="Q714" s="254"/>
      <c r="R714" s="254"/>
      <c r="S714" s="255"/>
      <c r="T714" s="255"/>
      <c r="V714" s="255"/>
      <c r="W714" s="254"/>
      <c r="X714" s="255"/>
    </row>
    <row r="715" spans="1:24" s="44" customFormat="1" ht="13.5" customHeight="1">
      <c r="A715" s="449"/>
      <c r="B715" s="469"/>
      <c r="C715" s="450"/>
      <c r="D715" s="451" t="s">
        <v>696</v>
      </c>
      <c r="E715" s="470"/>
      <c r="F715" s="61"/>
      <c r="G715" s="58"/>
      <c r="H715" s="59">
        <f>SUM(H713:H714)</f>
        <v>7.35</v>
      </c>
      <c r="I715" s="59">
        <f>SUM(I713:I714)</f>
        <v>6.5980000000000008</v>
      </c>
      <c r="J715" s="60">
        <f>SUM(J713:J714)</f>
        <v>13.948</v>
      </c>
      <c r="O715" s="253"/>
      <c r="P715" s="255"/>
      <c r="Q715" s="254"/>
      <c r="R715" s="254"/>
      <c r="S715" s="255"/>
      <c r="T715" s="255"/>
      <c r="V715" s="255"/>
      <c r="W715" s="254"/>
      <c r="X715" s="255"/>
    </row>
    <row r="716" spans="1:24" s="44" customFormat="1" ht="13.5" customHeight="1">
      <c r="A716" s="469" t="s">
        <v>1052</v>
      </c>
      <c r="B716" s="1027" t="s">
        <v>1255</v>
      </c>
      <c r="C716" s="1028"/>
      <c r="D716" s="1028"/>
      <c r="E716" s="457"/>
      <c r="F716" s="457"/>
      <c r="G716" s="457"/>
      <c r="H716" s="457"/>
      <c r="I716" s="457"/>
      <c r="J716" s="458"/>
      <c r="O716" s="253"/>
      <c r="P716" s="255"/>
      <c r="Q716" s="254"/>
      <c r="R716" s="254"/>
      <c r="S716" s="255"/>
      <c r="T716" s="255"/>
      <c r="V716" s="255"/>
      <c r="W716" s="254"/>
      <c r="X716" s="255"/>
    </row>
    <row r="717" spans="1:24" s="44" customFormat="1" ht="13.5" customHeight="1">
      <c r="A717" s="401"/>
      <c r="B717" s="401"/>
      <c r="C717" s="401"/>
      <c r="D717" s="401"/>
      <c r="E717" s="63"/>
      <c r="F717" s="63"/>
      <c r="G717" s="63"/>
      <c r="H717" s="63"/>
      <c r="I717" s="63"/>
      <c r="J717" s="63"/>
      <c r="O717" s="253"/>
      <c r="P717" s="255"/>
      <c r="Q717" s="254"/>
      <c r="R717" s="254"/>
      <c r="S717" s="255"/>
      <c r="T717" s="255"/>
      <c r="V717" s="255"/>
      <c r="W717" s="254"/>
      <c r="X717" s="255"/>
    </row>
    <row r="718" spans="1:24" s="44" customFormat="1" ht="13.5" customHeight="1">
      <c r="A718" s="463" t="s">
        <v>697</v>
      </c>
      <c r="B718" s="505"/>
      <c r="C718" s="438" t="s">
        <v>1441</v>
      </c>
      <c r="D718" s="498" t="s">
        <v>794</v>
      </c>
      <c r="E718" s="440" t="s">
        <v>405</v>
      </c>
      <c r="F718" s="417" t="s">
        <v>692</v>
      </c>
      <c r="G718" s="417" t="s">
        <v>693</v>
      </c>
      <c r="H718" s="417" t="s">
        <v>694</v>
      </c>
      <c r="I718" s="417" t="s">
        <v>695</v>
      </c>
      <c r="J718" s="424" t="s">
        <v>696</v>
      </c>
      <c r="O718" s="253"/>
      <c r="P718" s="255"/>
      <c r="Q718" s="254"/>
      <c r="R718" s="254"/>
      <c r="S718" s="255"/>
      <c r="T718" s="255"/>
      <c r="V718" s="255"/>
      <c r="W718" s="254"/>
      <c r="X718" s="255"/>
    </row>
    <row r="719" spans="1:24" s="44" customFormat="1" ht="13.5" customHeight="1">
      <c r="A719" s="446" t="s">
        <v>699</v>
      </c>
      <c r="B719" s="465" t="s">
        <v>409</v>
      </c>
      <c r="C719" s="478" t="s">
        <v>1257</v>
      </c>
      <c r="D719" s="506" t="s">
        <v>794</v>
      </c>
      <c r="E719" s="55" t="s">
        <v>13</v>
      </c>
      <c r="F719" s="62">
        <v>1.05</v>
      </c>
      <c r="G719" s="149">
        <v>37.51</v>
      </c>
      <c r="H719" s="52">
        <f>F719*G719</f>
        <v>39.3855</v>
      </c>
      <c r="I719" s="53"/>
      <c r="J719" s="54">
        <f>F719*G719</f>
        <v>39.3855</v>
      </c>
      <c r="O719" s="253"/>
      <c r="P719" s="255"/>
      <c r="Q719" s="254"/>
      <c r="R719" s="254"/>
      <c r="S719" s="255"/>
      <c r="T719" s="255"/>
      <c r="V719" s="255"/>
      <c r="W719" s="254"/>
      <c r="X719" s="255"/>
    </row>
    <row r="720" spans="1:24" s="44" customFormat="1" ht="13.5" customHeight="1">
      <c r="A720" s="446" t="s">
        <v>698</v>
      </c>
      <c r="B720" s="465" t="s">
        <v>406</v>
      </c>
      <c r="C720" s="441">
        <v>88247</v>
      </c>
      <c r="D720" s="447" t="s">
        <v>746</v>
      </c>
      <c r="E720" s="432" t="s">
        <v>740</v>
      </c>
      <c r="F720" s="64">
        <v>0.25</v>
      </c>
      <c r="G720" s="503">
        <v>26.96</v>
      </c>
      <c r="H720" s="55"/>
      <c r="I720" s="56">
        <f>F720*G720</f>
        <v>6.74</v>
      </c>
      <c r="J720" s="57">
        <f>F720*G720</f>
        <v>6.74</v>
      </c>
      <c r="K720" s="40"/>
      <c r="O720" s="253"/>
      <c r="P720" s="255"/>
      <c r="Q720" s="254"/>
      <c r="R720" s="254"/>
      <c r="S720" s="255"/>
      <c r="T720" s="255"/>
      <c r="V720" s="255"/>
      <c r="W720" s="254"/>
      <c r="X720" s="255"/>
    </row>
    <row r="721" spans="1:24" s="44" customFormat="1" ht="13.5" customHeight="1">
      <c r="A721" s="446" t="s">
        <v>698</v>
      </c>
      <c r="B721" s="465" t="s">
        <v>406</v>
      </c>
      <c r="C721" s="441">
        <v>88264</v>
      </c>
      <c r="D721" s="447" t="s">
        <v>747</v>
      </c>
      <c r="E721" s="432" t="s">
        <v>740</v>
      </c>
      <c r="F721" s="64">
        <v>0.25</v>
      </c>
      <c r="G721" s="503">
        <v>32.99</v>
      </c>
      <c r="H721" s="55"/>
      <c r="I721" s="56">
        <f>F721*G721</f>
        <v>8.2475000000000005</v>
      </c>
      <c r="J721" s="57">
        <f>F721*G721</f>
        <v>8.2475000000000005</v>
      </c>
      <c r="K721" s="40"/>
      <c r="O721" s="253"/>
      <c r="P721" s="255"/>
      <c r="Q721" s="254"/>
      <c r="R721" s="254"/>
      <c r="S721" s="255"/>
      <c r="T721" s="255"/>
      <c r="V721" s="255"/>
      <c r="W721" s="254"/>
      <c r="X721" s="255"/>
    </row>
    <row r="722" spans="1:24" s="44" customFormat="1" ht="13.5" customHeight="1">
      <c r="A722" s="449"/>
      <c r="B722" s="469"/>
      <c r="C722" s="450"/>
      <c r="D722" s="451" t="s">
        <v>696</v>
      </c>
      <c r="E722" s="470"/>
      <c r="F722" s="61"/>
      <c r="G722" s="58"/>
      <c r="H722" s="59">
        <f>SUM(H719:H720)</f>
        <v>39.3855</v>
      </c>
      <c r="I722" s="59">
        <f>SUM(I719:I720)</f>
        <v>6.74</v>
      </c>
      <c r="J722" s="60">
        <f>SUM(J719:J720)</f>
        <v>46.125500000000002</v>
      </c>
      <c r="O722" s="253"/>
      <c r="P722" s="255"/>
      <c r="Q722" s="254"/>
      <c r="R722" s="254"/>
      <c r="S722" s="255"/>
      <c r="T722" s="255"/>
      <c r="V722" s="255"/>
      <c r="W722" s="254"/>
      <c r="X722" s="255"/>
    </row>
    <row r="723" spans="1:24" s="44" customFormat="1" ht="13.5" customHeight="1">
      <c r="A723" s="469" t="s">
        <v>1052</v>
      </c>
      <c r="B723" s="1027" t="s">
        <v>1258</v>
      </c>
      <c r="C723" s="1028"/>
      <c r="D723" s="1028"/>
      <c r="E723" s="457"/>
      <c r="F723" s="457"/>
      <c r="G723" s="457"/>
      <c r="H723" s="457"/>
      <c r="I723" s="457"/>
      <c r="J723" s="458"/>
      <c r="O723" s="253"/>
      <c r="P723" s="255"/>
      <c r="Q723" s="254"/>
      <c r="R723" s="254"/>
      <c r="S723" s="255"/>
      <c r="T723" s="255"/>
      <c r="V723" s="255"/>
      <c r="W723" s="254"/>
      <c r="X723" s="255"/>
    </row>
    <row r="724" spans="1:24" s="44" customFormat="1" ht="13.5" customHeight="1">
      <c r="A724" s="401"/>
      <c r="B724" s="401"/>
      <c r="C724" s="401"/>
      <c r="D724" s="401"/>
      <c r="E724" s="63"/>
      <c r="F724" s="63"/>
      <c r="G724" s="63"/>
      <c r="H724" s="63"/>
      <c r="I724" s="63"/>
      <c r="J724" s="63"/>
      <c r="O724" s="253"/>
      <c r="P724" s="255"/>
      <c r="Q724" s="254"/>
      <c r="R724" s="254"/>
      <c r="S724" s="255"/>
      <c r="T724" s="255"/>
      <c r="V724" s="255"/>
      <c r="W724" s="254"/>
      <c r="X724" s="255"/>
    </row>
    <row r="725" spans="1:24" s="44" customFormat="1" ht="13.5" customHeight="1">
      <c r="A725" s="463" t="s">
        <v>697</v>
      </c>
      <c r="B725" s="505"/>
      <c r="C725" s="438" t="s">
        <v>1442</v>
      </c>
      <c r="D725" s="498" t="s">
        <v>161</v>
      </c>
      <c r="E725" s="440" t="s">
        <v>411</v>
      </c>
      <c r="F725" s="417" t="s">
        <v>692</v>
      </c>
      <c r="G725" s="417" t="s">
        <v>693</v>
      </c>
      <c r="H725" s="417" t="s">
        <v>694</v>
      </c>
      <c r="I725" s="417" t="s">
        <v>695</v>
      </c>
      <c r="J725" s="424" t="s">
        <v>696</v>
      </c>
      <c r="O725" s="253"/>
      <c r="P725" s="255"/>
      <c r="Q725" s="254"/>
      <c r="R725" s="254"/>
      <c r="S725" s="255"/>
      <c r="T725" s="255"/>
      <c r="V725" s="255"/>
      <c r="W725" s="254"/>
      <c r="X725" s="255"/>
    </row>
    <row r="726" spans="1:24" s="44" customFormat="1" ht="13.5" customHeight="1">
      <c r="A726" s="446" t="s">
        <v>699</v>
      </c>
      <c r="B726" s="465" t="s">
        <v>409</v>
      </c>
      <c r="C726" s="478" t="s">
        <v>1259</v>
      </c>
      <c r="D726" s="506" t="s">
        <v>161</v>
      </c>
      <c r="E726" s="55" t="s">
        <v>15</v>
      </c>
      <c r="F726" s="62">
        <v>1</v>
      </c>
      <c r="G726" s="149">
        <v>8.66</v>
      </c>
      <c r="H726" s="52">
        <f>F726*G726</f>
        <v>8.66</v>
      </c>
      <c r="I726" s="53"/>
      <c r="J726" s="54">
        <f>F726*G726</f>
        <v>8.66</v>
      </c>
      <c r="O726" s="253"/>
      <c r="P726" s="255"/>
      <c r="Q726" s="254"/>
      <c r="R726" s="254"/>
      <c r="S726" s="255"/>
      <c r="T726" s="255"/>
      <c r="V726" s="255"/>
      <c r="W726" s="254"/>
      <c r="X726" s="255"/>
    </row>
    <row r="727" spans="1:24" s="44" customFormat="1" ht="13.5" customHeight="1">
      <c r="A727" s="446" t="s">
        <v>698</v>
      </c>
      <c r="B727" s="465" t="s">
        <v>406</v>
      </c>
      <c r="C727" s="441">
        <v>88247</v>
      </c>
      <c r="D727" s="447" t="s">
        <v>746</v>
      </c>
      <c r="E727" s="432" t="s">
        <v>740</v>
      </c>
      <c r="F727" s="64">
        <v>0.2</v>
      </c>
      <c r="G727" s="503">
        <v>26.96</v>
      </c>
      <c r="H727" s="55"/>
      <c r="I727" s="56">
        <f>F727*G727</f>
        <v>5.3920000000000003</v>
      </c>
      <c r="J727" s="57">
        <f>F727*G727</f>
        <v>5.3920000000000003</v>
      </c>
      <c r="K727" s="40"/>
      <c r="O727" s="253"/>
      <c r="P727" s="255"/>
      <c r="Q727" s="254"/>
      <c r="R727" s="254"/>
      <c r="S727" s="255"/>
      <c r="T727" s="255"/>
      <c r="V727" s="255"/>
      <c r="W727" s="254"/>
      <c r="X727" s="255"/>
    </row>
    <row r="728" spans="1:24" s="44" customFormat="1" ht="13.5" customHeight="1">
      <c r="A728" s="446" t="s">
        <v>698</v>
      </c>
      <c r="B728" s="465" t="s">
        <v>406</v>
      </c>
      <c r="C728" s="441">
        <v>88264</v>
      </c>
      <c r="D728" s="447" t="s">
        <v>747</v>
      </c>
      <c r="E728" s="432" t="s">
        <v>740</v>
      </c>
      <c r="F728" s="64">
        <v>0.2</v>
      </c>
      <c r="G728" s="503">
        <v>32.99</v>
      </c>
      <c r="H728" s="55"/>
      <c r="I728" s="56">
        <f>F728*G728</f>
        <v>6.5980000000000008</v>
      </c>
      <c r="J728" s="57">
        <f>F728*G728</f>
        <v>6.5980000000000008</v>
      </c>
      <c r="K728" s="40"/>
      <c r="O728" s="253"/>
      <c r="P728" s="255"/>
      <c r="Q728" s="254"/>
      <c r="R728" s="254"/>
      <c r="S728" s="255"/>
      <c r="T728" s="255"/>
      <c r="V728" s="255"/>
      <c r="W728" s="254"/>
      <c r="X728" s="255"/>
    </row>
    <row r="729" spans="1:24" s="44" customFormat="1" ht="13.5" customHeight="1">
      <c r="A729" s="449"/>
      <c r="B729" s="469"/>
      <c r="C729" s="450"/>
      <c r="D729" s="451" t="s">
        <v>696</v>
      </c>
      <c r="E729" s="470"/>
      <c r="F729" s="61"/>
      <c r="G729" s="58"/>
      <c r="H729" s="59">
        <f>SUM(H726:H728)</f>
        <v>8.66</v>
      </c>
      <c r="I729" s="59">
        <f>SUM(I726:I728)</f>
        <v>11.990000000000002</v>
      </c>
      <c r="J729" s="60">
        <f>SUM(J726:J728)</f>
        <v>20.65</v>
      </c>
      <c r="O729" s="253"/>
      <c r="P729" s="255"/>
      <c r="Q729" s="254"/>
      <c r="R729" s="254"/>
      <c r="S729" s="255"/>
      <c r="T729" s="255"/>
      <c r="V729" s="255"/>
      <c r="W729" s="254"/>
      <c r="X729" s="255"/>
    </row>
    <row r="730" spans="1:24" s="44" customFormat="1" ht="13.5" customHeight="1">
      <c r="A730" s="469" t="s">
        <v>1052</v>
      </c>
      <c r="B730" s="1027" t="s">
        <v>1251</v>
      </c>
      <c r="C730" s="1028"/>
      <c r="D730" s="1028"/>
      <c r="E730" s="457"/>
      <c r="F730" s="457"/>
      <c r="G730" s="457"/>
      <c r="H730" s="457"/>
      <c r="I730" s="457"/>
      <c r="J730" s="458"/>
      <c r="O730" s="253"/>
      <c r="P730" s="255"/>
      <c r="Q730" s="254"/>
      <c r="R730" s="254"/>
      <c r="S730" s="255"/>
      <c r="T730" s="255"/>
      <c r="V730" s="255"/>
      <c r="W730" s="254"/>
      <c r="X730" s="255"/>
    </row>
    <row r="731" spans="1:24" s="44" customFormat="1" ht="13.5" customHeight="1">
      <c r="A731" s="401"/>
      <c r="B731" s="401"/>
      <c r="C731" s="401"/>
      <c r="D731" s="401"/>
      <c r="E731" s="63"/>
      <c r="F731" s="63"/>
      <c r="G731" s="63"/>
      <c r="H731" s="63"/>
      <c r="I731" s="63"/>
      <c r="J731" s="63"/>
      <c r="O731" s="253"/>
      <c r="P731" s="255"/>
      <c r="Q731" s="254"/>
      <c r="R731" s="254"/>
      <c r="S731" s="255"/>
      <c r="T731" s="255"/>
      <c r="V731" s="255"/>
      <c r="W731" s="254"/>
      <c r="X731" s="255"/>
    </row>
    <row r="732" spans="1:24" s="44" customFormat="1" ht="13.5" customHeight="1">
      <c r="A732" s="463" t="s">
        <v>697</v>
      </c>
      <c r="B732" s="505"/>
      <c r="C732" s="438" t="s">
        <v>1443</v>
      </c>
      <c r="D732" s="498" t="s">
        <v>162</v>
      </c>
      <c r="E732" s="440" t="s">
        <v>411</v>
      </c>
      <c r="F732" s="417" t="s">
        <v>692</v>
      </c>
      <c r="G732" s="417" t="s">
        <v>693</v>
      </c>
      <c r="H732" s="417" t="s">
        <v>694</v>
      </c>
      <c r="I732" s="417" t="s">
        <v>695</v>
      </c>
      <c r="J732" s="424" t="s">
        <v>696</v>
      </c>
      <c r="O732" s="253"/>
      <c r="P732" s="255"/>
      <c r="Q732" s="254"/>
      <c r="R732" s="254"/>
      <c r="S732" s="255"/>
      <c r="T732" s="255"/>
      <c r="V732" s="255"/>
      <c r="W732" s="254"/>
      <c r="X732" s="255"/>
    </row>
    <row r="733" spans="1:24" s="44" customFormat="1" ht="13.5" customHeight="1">
      <c r="A733" s="446" t="s">
        <v>819</v>
      </c>
      <c r="B733" s="465" t="s">
        <v>409</v>
      </c>
      <c r="C733" s="478">
        <v>37518</v>
      </c>
      <c r="D733" s="506" t="s">
        <v>1261</v>
      </c>
      <c r="E733" s="55" t="s">
        <v>15</v>
      </c>
      <c r="F733" s="62">
        <v>1</v>
      </c>
      <c r="G733" s="149">
        <v>3.3</v>
      </c>
      <c r="H733" s="52">
        <f>F733*G733</f>
        <v>3.3</v>
      </c>
      <c r="I733" s="53"/>
      <c r="J733" s="54">
        <f>F733*G733</f>
        <v>3.3</v>
      </c>
      <c r="K733" s="40"/>
      <c r="O733" s="253"/>
      <c r="P733" s="255"/>
      <c r="Q733" s="254"/>
      <c r="R733" s="254"/>
      <c r="S733" s="255"/>
      <c r="T733" s="255"/>
      <c r="V733" s="255"/>
      <c r="W733" s="254"/>
      <c r="X733" s="255"/>
    </row>
    <row r="734" spans="1:24" s="44" customFormat="1" ht="13.5" customHeight="1">
      <c r="A734" s="446" t="s">
        <v>698</v>
      </c>
      <c r="B734" s="465" t="s">
        <v>406</v>
      </c>
      <c r="C734" s="441">
        <v>88247</v>
      </c>
      <c r="D734" s="447" t="s">
        <v>746</v>
      </c>
      <c r="E734" s="432" t="s">
        <v>740</v>
      </c>
      <c r="F734" s="64">
        <v>0.15</v>
      </c>
      <c r="G734" s="503">
        <v>26.96</v>
      </c>
      <c r="H734" s="55"/>
      <c r="I734" s="56">
        <f>F734*G734</f>
        <v>4.0439999999999996</v>
      </c>
      <c r="J734" s="57">
        <f>F734*G734</f>
        <v>4.0439999999999996</v>
      </c>
      <c r="K734" s="40"/>
      <c r="O734" s="253"/>
      <c r="P734" s="255"/>
      <c r="Q734" s="254"/>
      <c r="R734" s="254"/>
      <c r="S734" s="255"/>
      <c r="T734" s="255"/>
      <c r="V734" s="255"/>
      <c r="W734" s="254"/>
      <c r="X734" s="255"/>
    </row>
    <row r="735" spans="1:24" s="44" customFormat="1" ht="13.5" customHeight="1">
      <c r="A735" s="446" t="s">
        <v>698</v>
      </c>
      <c r="B735" s="465" t="s">
        <v>406</v>
      </c>
      <c r="C735" s="441">
        <v>88264</v>
      </c>
      <c r="D735" s="447" t="s">
        <v>747</v>
      </c>
      <c r="E735" s="432" t="s">
        <v>740</v>
      </c>
      <c r="F735" s="64">
        <v>0.15</v>
      </c>
      <c r="G735" s="503">
        <v>32.99</v>
      </c>
      <c r="H735" s="55"/>
      <c r="I735" s="56">
        <f>F735*G735</f>
        <v>4.9485000000000001</v>
      </c>
      <c r="J735" s="57">
        <f>F735*G735</f>
        <v>4.9485000000000001</v>
      </c>
      <c r="K735" s="40"/>
      <c r="O735" s="253"/>
      <c r="P735" s="255"/>
      <c r="Q735" s="254"/>
      <c r="R735" s="254"/>
      <c r="S735" s="255"/>
      <c r="T735" s="255"/>
      <c r="V735" s="255"/>
      <c r="W735" s="254"/>
      <c r="X735" s="255"/>
    </row>
    <row r="736" spans="1:24" s="44" customFormat="1" ht="13.5" customHeight="1">
      <c r="A736" s="449"/>
      <c r="B736" s="469"/>
      <c r="C736" s="450"/>
      <c r="D736" s="451" t="s">
        <v>696</v>
      </c>
      <c r="E736" s="470"/>
      <c r="F736" s="61"/>
      <c r="G736" s="58"/>
      <c r="H736" s="59">
        <f>SUM(H733:H735)</f>
        <v>3.3</v>
      </c>
      <c r="I736" s="59">
        <f>SUM(I733:I735)</f>
        <v>8.9924999999999997</v>
      </c>
      <c r="J736" s="60">
        <f>SUM(J733:J735)</f>
        <v>12.2925</v>
      </c>
      <c r="O736" s="253"/>
      <c r="P736" s="255"/>
      <c r="Q736" s="254"/>
      <c r="R736" s="254"/>
      <c r="S736" s="255"/>
      <c r="T736" s="255"/>
      <c r="V736" s="255"/>
      <c r="W736" s="254"/>
      <c r="X736" s="255"/>
    </row>
    <row r="737" spans="1:24" s="44" customFormat="1" ht="13.5" customHeight="1">
      <c r="A737" s="469" t="s">
        <v>1052</v>
      </c>
      <c r="B737" s="1027" t="s">
        <v>1262</v>
      </c>
      <c r="C737" s="1028"/>
      <c r="D737" s="1028"/>
      <c r="E737" s="457"/>
      <c r="F737" s="457"/>
      <c r="G737" s="457"/>
      <c r="H737" s="457"/>
      <c r="I737" s="457"/>
      <c r="J737" s="458"/>
      <c r="O737" s="253"/>
      <c r="P737" s="255"/>
      <c r="Q737" s="254"/>
      <c r="R737" s="254"/>
      <c r="S737" s="255"/>
      <c r="T737" s="255"/>
      <c r="V737" s="255"/>
      <c r="W737" s="254"/>
      <c r="X737" s="255"/>
    </row>
    <row r="738" spans="1:24" s="44" customFormat="1" ht="13.5" customHeight="1">
      <c r="A738" s="401"/>
      <c r="B738" s="401"/>
      <c r="C738" s="401"/>
      <c r="D738" s="401"/>
      <c r="E738" s="63"/>
      <c r="F738" s="63"/>
      <c r="G738" s="63"/>
      <c r="H738" s="63"/>
      <c r="I738" s="63"/>
      <c r="J738" s="63"/>
      <c r="O738" s="253"/>
      <c r="P738" s="255"/>
      <c r="Q738" s="254"/>
      <c r="R738" s="254"/>
      <c r="S738" s="255"/>
      <c r="T738" s="255"/>
      <c r="V738" s="255"/>
      <c r="W738" s="254"/>
      <c r="X738" s="255"/>
    </row>
    <row r="739" spans="1:24" s="44" customFormat="1" ht="13.5" customHeight="1">
      <c r="A739" s="507" t="s">
        <v>697</v>
      </c>
      <c r="B739" s="508"/>
      <c r="C739" s="438" t="s">
        <v>1211</v>
      </c>
      <c r="D739" s="498" t="s">
        <v>163</v>
      </c>
      <c r="E739" s="440" t="s">
        <v>411</v>
      </c>
      <c r="F739" s="417" t="s">
        <v>692</v>
      </c>
      <c r="G739" s="417" t="s">
        <v>693</v>
      </c>
      <c r="H739" s="417" t="s">
        <v>694</v>
      </c>
      <c r="I739" s="417" t="s">
        <v>695</v>
      </c>
      <c r="J739" s="424" t="s">
        <v>696</v>
      </c>
      <c r="O739" s="253"/>
      <c r="P739" s="255"/>
      <c r="Q739" s="254"/>
      <c r="R739" s="254"/>
      <c r="S739" s="255"/>
      <c r="T739" s="255"/>
      <c r="V739" s="255"/>
      <c r="W739" s="254"/>
      <c r="X739" s="255"/>
    </row>
    <row r="740" spans="1:24" s="44" customFormat="1" ht="13.5" customHeight="1">
      <c r="A740" s="392" t="s">
        <v>698</v>
      </c>
      <c r="B740" s="509" t="s">
        <v>409</v>
      </c>
      <c r="C740" s="392">
        <v>11975</v>
      </c>
      <c r="D740" s="401" t="s">
        <v>1446</v>
      </c>
      <c r="E740" s="55" t="s">
        <v>15</v>
      </c>
      <c r="F740" s="62">
        <v>1</v>
      </c>
      <c r="G740" s="510">
        <v>32.58</v>
      </c>
      <c r="H740" s="511">
        <f>F740*G740</f>
        <v>32.58</v>
      </c>
      <c r="I740" s="512"/>
      <c r="J740" s="54">
        <f>F740*G740</f>
        <v>32.58</v>
      </c>
      <c r="K740" s="40"/>
      <c r="O740" s="253"/>
      <c r="P740" s="255"/>
      <c r="Q740" s="254"/>
      <c r="R740" s="254"/>
      <c r="S740" s="255"/>
      <c r="T740" s="255"/>
      <c r="V740" s="255"/>
      <c r="W740" s="254"/>
      <c r="X740" s="255"/>
    </row>
    <row r="741" spans="1:24" s="44" customFormat="1" ht="13.5" customHeight="1">
      <c r="A741" s="377" t="s">
        <v>698</v>
      </c>
      <c r="B741" s="392" t="s">
        <v>406</v>
      </c>
      <c r="C741" s="392">
        <v>88247</v>
      </c>
      <c r="D741" s="447" t="s">
        <v>746</v>
      </c>
      <c r="E741" s="411" t="s">
        <v>412</v>
      </c>
      <c r="F741" s="513">
        <v>0.82499999999999996</v>
      </c>
      <c r="G741" s="503">
        <v>26.96</v>
      </c>
      <c r="H741" s="514"/>
      <c r="I741" s="395">
        <f>F741*G741</f>
        <v>22.242000000000001</v>
      </c>
      <c r="J741" s="54">
        <f>F741*G741</f>
        <v>22.242000000000001</v>
      </c>
      <c r="K741" s="40"/>
      <c r="O741" s="253"/>
      <c r="P741" s="255"/>
      <c r="Q741" s="254"/>
      <c r="R741" s="254"/>
      <c r="S741" s="255"/>
      <c r="T741" s="255"/>
      <c r="V741" s="255"/>
      <c r="W741" s="254"/>
      <c r="X741" s="255"/>
    </row>
    <row r="742" spans="1:24" s="44" customFormat="1" ht="13.5" customHeight="1">
      <c r="A742" s="377" t="s">
        <v>698</v>
      </c>
      <c r="B742" s="392" t="s">
        <v>406</v>
      </c>
      <c r="C742" s="441">
        <v>88264</v>
      </c>
      <c r="D742" s="447" t="s">
        <v>747</v>
      </c>
      <c r="E742" s="411" t="s">
        <v>412</v>
      </c>
      <c r="F742" s="513">
        <f>F741</f>
        <v>0.82499999999999996</v>
      </c>
      <c r="G742" s="503">
        <v>32.99</v>
      </c>
      <c r="H742" s="514"/>
      <c r="I742" s="395">
        <f>F742*G742</f>
        <v>27.216750000000001</v>
      </c>
      <c r="J742" s="57">
        <f>F742*G742</f>
        <v>27.216750000000001</v>
      </c>
      <c r="K742" s="40"/>
      <c r="O742" s="253"/>
      <c r="P742" s="255"/>
      <c r="Q742" s="254"/>
      <c r="R742" s="254"/>
      <c r="S742" s="255"/>
      <c r="T742" s="255"/>
      <c r="V742" s="255"/>
      <c r="W742" s="254"/>
      <c r="X742" s="255"/>
    </row>
    <row r="743" spans="1:24" s="44" customFormat="1" ht="13.5" customHeight="1">
      <c r="A743" s="515"/>
      <c r="B743" s="516"/>
      <c r="C743" s="476"/>
      <c r="D743" s="451" t="s">
        <v>696</v>
      </c>
      <c r="E743" s="517"/>
      <c r="F743" s="518"/>
      <c r="G743" s="519"/>
      <c r="H743" s="520">
        <f>SUM(H740:H742)</f>
        <v>32.58</v>
      </c>
      <c r="I743" s="59">
        <f>SUM(I740:I742)</f>
        <v>49.458750000000002</v>
      </c>
      <c r="J743" s="60">
        <f>SUM(J740:J742)</f>
        <v>82.038750000000007</v>
      </c>
      <c r="O743" s="253"/>
      <c r="P743" s="255"/>
      <c r="Q743" s="254"/>
      <c r="R743" s="254"/>
      <c r="S743" s="255"/>
      <c r="T743" s="255"/>
      <c r="V743" s="255"/>
      <c r="W743" s="254"/>
      <c r="X743" s="255"/>
    </row>
    <row r="744" spans="1:24" s="44" customFormat="1" ht="13.5" customHeight="1">
      <c r="A744" s="384" t="s">
        <v>1052</v>
      </c>
      <c r="B744" s="1029" t="s">
        <v>1084</v>
      </c>
      <c r="C744" s="1030"/>
      <c r="D744" s="1030"/>
      <c r="E744" s="409"/>
      <c r="F744" s="409"/>
      <c r="G744" s="409"/>
      <c r="H744" s="409"/>
      <c r="I744" s="409"/>
      <c r="J744" s="410"/>
      <c r="O744" s="253"/>
      <c r="P744" s="255"/>
      <c r="Q744" s="254"/>
      <c r="R744" s="254"/>
      <c r="S744" s="255"/>
      <c r="T744" s="255"/>
      <c r="V744" s="255"/>
      <c r="W744" s="254"/>
      <c r="X744" s="255"/>
    </row>
    <row r="745" spans="1:24" s="44" customFormat="1" ht="13.5" customHeight="1">
      <c r="A745" s="401"/>
      <c r="B745" s="401"/>
      <c r="C745" s="401"/>
      <c r="D745" s="401"/>
      <c r="E745" s="63"/>
      <c r="F745" s="63"/>
      <c r="G745" s="63"/>
      <c r="H745" s="63"/>
      <c r="I745" s="63"/>
      <c r="J745" s="63"/>
      <c r="O745" s="253"/>
      <c r="P745" s="255"/>
      <c r="Q745" s="254"/>
      <c r="R745" s="254"/>
      <c r="S745" s="255"/>
      <c r="T745" s="255"/>
      <c r="V745" s="255"/>
      <c r="W745" s="254"/>
      <c r="X745" s="255"/>
    </row>
    <row r="746" spans="1:24" s="44" customFormat="1" ht="13.5" customHeight="1">
      <c r="A746" s="507" t="s">
        <v>697</v>
      </c>
      <c r="B746" s="508"/>
      <c r="C746" s="438" t="s">
        <v>1444</v>
      </c>
      <c r="D746" s="498" t="s">
        <v>153</v>
      </c>
      <c r="E746" s="440" t="s">
        <v>411</v>
      </c>
      <c r="F746" s="417" t="s">
        <v>692</v>
      </c>
      <c r="G746" s="417" t="s">
        <v>693</v>
      </c>
      <c r="H746" s="417" t="s">
        <v>694</v>
      </c>
      <c r="I746" s="417" t="s">
        <v>695</v>
      </c>
      <c r="J746" s="424" t="s">
        <v>696</v>
      </c>
      <c r="O746" s="253"/>
      <c r="P746" s="255"/>
      <c r="Q746" s="254"/>
      <c r="R746" s="254"/>
      <c r="S746" s="255"/>
      <c r="T746" s="255"/>
      <c r="V746" s="255"/>
      <c r="W746" s="254"/>
      <c r="X746" s="255"/>
    </row>
    <row r="747" spans="1:24" s="44" customFormat="1" ht="13.5" customHeight="1">
      <c r="A747" s="47" t="s">
        <v>819</v>
      </c>
      <c r="B747" s="509" t="s">
        <v>406</v>
      </c>
      <c r="C747" s="472">
        <v>77944</v>
      </c>
      <c r="D747" s="521" t="s">
        <v>1445</v>
      </c>
      <c r="E747" s="411" t="s">
        <v>700</v>
      </c>
      <c r="F747" s="411">
        <v>1</v>
      </c>
      <c r="G747" s="510">
        <v>306.49</v>
      </c>
      <c r="H747" s="397">
        <f>F747*G747</f>
        <v>306.49</v>
      </c>
      <c r="I747" s="512"/>
      <c r="J747" s="54">
        <f>H747</f>
        <v>306.49</v>
      </c>
      <c r="K747" s="40"/>
      <c r="O747" s="253"/>
      <c r="P747" s="255"/>
      <c r="Q747" s="254"/>
      <c r="R747" s="254"/>
      <c r="S747" s="255"/>
      <c r="T747" s="255"/>
      <c r="V747" s="255"/>
      <c r="W747" s="254"/>
      <c r="X747" s="255"/>
    </row>
    <row r="748" spans="1:24" s="44" customFormat="1" ht="13.5" customHeight="1">
      <c r="A748" s="377" t="s">
        <v>698</v>
      </c>
      <c r="B748" s="392" t="s">
        <v>406</v>
      </c>
      <c r="C748" s="392">
        <v>88247</v>
      </c>
      <c r="D748" s="447" t="s">
        <v>746</v>
      </c>
      <c r="E748" s="411" t="s">
        <v>412</v>
      </c>
      <c r="F748" s="513">
        <v>1.2749999999999999</v>
      </c>
      <c r="G748" s="503">
        <v>26.96</v>
      </c>
      <c r="H748" s="395"/>
      <c r="I748" s="56">
        <f>F748*G748</f>
        <v>34.373999999999995</v>
      </c>
      <c r="J748" s="57">
        <f>F748*G748</f>
        <v>34.373999999999995</v>
      </c>
      <c r="K748" s="40"/>
      <c r="O748" s="253"/>
      <c r="P748" s="255"/>
      <c r="Q748" s="254"/>
      <c r="R748" s="254"/>
      <c r="S748" s="255"/>
      <c r="T748" s="255"/>
      <c r="V748" s="255"/>
      <c r="W748" s="254"/>
      <c r="X748" s="255"/>
    </row>
    <row r="749" spans="1:24" s="44" customFormat="1" ht="13.5" customHeight="1">
      <c r="A749" s="377" t="s">
        <v>698</v>
      </c>
      <c r="B749" s="392" t="s">
        <v>406</v>
      </c>
      <c r="C749" s="441">
        <v>88264</v>
      </c>
      <c r="D749" s="447" t="s">
        <v>747</v>
      </c>
      <c r="E749" s="411" t="s">
        <v>412</v>
      </c>
      <c r="F749" s="513">
        <f>F748</f>
        <v>1.2749999999999999</v>
      </c>
      <c r="G749" s="503">
        <v>32.99</v>
      </c>
      <c r="H749" s="395"/>
      <c r="I749" s="56">
        <f>F749*G749</f>
        <v>42.062249999999999</v>
      </c>
      <c r="J749" s="57">
        <f>F749*G749</f>
        <v>42.062249999999999</v>
      </c>
      <c r="K749" s="40"/>
      <c r="O749" s="253"/>
      <c r="P749" s="255"/>
      <c r="Q749" s="254"/>
      <c r="R749" s="254"/>
      <c r="S749" s="255"/>
      <c r="T749" s="255"/>
      <c r="V749" s="255"/>
      <c r="W749" s="254"/>
      <c r="X749" s="255"/>
    </row>
    <row r="750" spans="1:24" s="44" customFormat="1" ht="13.5" customHeight="1">
      <c r="A750" s="515"/>
      <c r="B750" s="516"/>
      <c r="C750" s="476"/>
      <c r="D750" s="451" t="s">
        <v>696</v>
      </c>
      <c r="E750" s="517"/>
      <c r="F750" s="518"/>
      <c r="G750" s="519"/>
      <c r="H750" s="522">
        <f>SUM(H747:H749)</f>
        <v>306.49</v>
      </c>
      <c r="I750" s="59">
        <f>SUM(I747:I749)</f>
        <v>76.436250000000001</v>
      </c>
      <c r="J750" s="60">
        <f>SUM(J747:J749)</f>
        <v>382.92625000000004</v>
      </c>
      <c r="O750" s="253"/>
      <c r="P750" s="255"/>
      <c r="Q750" s="254"/>
      <c r="R750" s="254"/>
      <c r="S750" s="255"/>
      <c r="T750" s="255"/>
      <c r="V750" s="255"/>
      <c r="W750" s="254"/>
      <c r="X750" s="255"/>
    </row>
    <row r="751" spans="1:24" s="44" customFormat="1" ht="13.5" customHeight="1">
      <c r="A751" s="384" t="s">
        <v>1052</v>
      </c>
      <c r="B751" s="1029" t="s">
        <v>1085</v>
      </c>
      <c r="C751" s="1030"/>
      <c r="D751" s="1030"/>
      <c r="E751" s="409"/>
      <c r="F751" s="409"/>
      <c r="G751" s="409"/>
      <c r="H751" s="409"/>
      <c r="I751" s="409"/>
      <c r="J751" s="410"/>
      <c r="O751" s="253"/>
      <c r="P751" s="255"/>
      <c r="Q751" s="254"/>
      <c r="R751" s="254"/>
      <c r="S751" s="255"/>
      <c r="T751" s="255"/>
      <c r="V751" s="255"/>
      <c r="W751" s="254"/>
      <c r="X751" s="255"/>
    </row>
    <row r="752" spans="1:24" s="44" customFormat="1" ht="13.5" customHeight="1">
      <c r="A752" s="401"/>
      <c r="B752" s="401"/>
      <c r="C752" s="401"/>
      <c r="D752" s="401"/>
      <c r="E752" s="63"/>
      <c r="F752" s="63"/>
      <c r="G752" s="63"/>
      <c r="H752" s="63"/>
      <c r="I752" s="63"/>
      <c r="J752" s="63"/>
      <c r="O752" s="253"/>
      <c r="P752" s="255"/>
      <c r="Q752" s="254"/>
      <c r="R752" s="254"/>
      <c r="S752" s="255"/>
      <c r="T752" s="255"/>
      <c r="V752" s="255"/>
      <c r="W752" s="254"/>
      <c r="X752" s="255"/>
    </row>
    <row r="753" spans="1:24" s="44" customFormat="1" ht="63.75">
      <c r="A753" s="372" t="s">
        <v>697</v>
      </c>
      <c r="B753" s="372"/>
      <c r="C753" s="438" t="s">
        <v>1235</v>
      </c>
      <c r="D753" s="498" t="s">
        <v>178</v>
      </c>
      <c r="E753" s="440" t="s">
        <v>411</v>
      </c>
      <c r="F753" s="417" t="s">
        <v>692</v>
      </c>
      <c r="G753" s="417" t="s">
        <v>693</v>
      </c>
      <c r="H753" s="417" t="s">
        <v>694</v>
      </c>
      <c r="I753" s="417" t="s">
        <v>695</v>
      </c>
      <c r="J753" s="424" t="s">
        <v>696</v>
      </c>
      <c r="O753" s="253"/>
      <c r="P753" s="255"/>
      <c r="Q753" s="254"/>
      <c r="R753" s="254"/>
      <c r="S753" s="255"/>
      <c r="T753" s="255"/>
      <c r="V753" s="255"/>
      <c r="W753" s="254"/>
      <c r="X753" s="255"/>
    </row>
    <row r="754" spans="1:24" s="44" customFormat="1" ht="25.5">
      <c r="A754" s="377" t="s">
        <v>699</v>
      </c>
      <c r="B754" s="465" t="s">
        <v>409</v>
      </c>
      <c r="C754" s="589" t="s">
        <v>810</v>
      </c>
      <c r="D754" s="567" t="s">
        <v>791</v>
      </c>
      <c r="E754" s="411" t="s">
        <v>737</v>
      </c>
      <c r="F754" s="407">
        <v>1</v>
      </c>
      <c r="G754" s="407">
        <v>3052.37</v>
      </c>
      <c r="H754" s="406">
        <f>F754*G754</f>
        <v>3052.37</v>
      </c>
      <c r="I754" s="568"/>
      <c r="J754" s="54">
        <f>H754</f>
        <v>3052.37</v>
      </c>
      <c r="K754" s="40"/>
      <c r="O754" s="253"/>
      <c r="P754" s="255"/>
      <c r="Q754" s="254"/>
      <c r="R754" s="254"/>
      <c r="S754" s="255"/>
      <c r="T754" s="255"/>
      <c r="V754" s="255"/>
      <c r="W754" s="254"/>
      <c r="X754" s="255"/>
    </row>
    <row r="755" spans="1:24" s="44" customFormat="1" ht="13.5" customHeight="1">
      <c r="A755" s="392" t="s">
        <v>406</v>
      </c>
      <c r="B755" s="404" t="s">
        <v>698</v>
      </c>
      <c r="C755" s="614">
        <v>88264</v>
      </c>
      <c r="D755" s="447" t="s">
        <v>747</v>
      </c>
      <c r="E755" s="406" t="s">
        <v>412</v>
      </c>
      <c r="F755" s="615">
        <v>1.169</v>
      </c>
      <c r="G755" s="503">
        <v>32.99</v>
      </c>
      <c r="H755" s="616"/>
      <c r="I755" s="523">
        <f>F755*G755</f>
        <v>38.565310000000004</v>
      </c>
      <c r="J755" s="57">
        <f>F755*G755</f>
        <v>38.565310000000004</v>
      </c>
      <c r="K755" s="40"/>
      <c r="O755" s="253"/>
      <c r="P755" s="255"/>
      <c r="Q755" s="254"/>
      <c r="R755" s="254"/>
      <c r="S755" s="255"/>
      <c r="T755" s="255"/>
      <c r="V755" s="255"/>
      <c r="W755" s="254"/>
      <c r="X755" s="255"/>
    </row>
    <row r="756" spans="1:24" s="44" customFormat="1" ht="13.5" customHeight="1">
      <c r="A756" s="392" t="s">
        <v>406</v>
      </c>
      <c r="B756" s="404" t="s">
        <v>698</v>
      </c>
      <c r="C756" s="404" t="s">
        <v>473</v>
      </c>
      <c r="D756" s="447" t="s">
        <v>746</v>
      </c>
      <c r="E756" s="406" t="s">
        <v>412</v>
      </c>
      <c r="F756" s="615">
        <f>F755</f>
        <v>1.169</v>
      </c>
      <c r="G756" s="503">
        <v>26.96</v>
      </c>
      <c r="H756" s="616"/>
      <c r="I756" s="523">
        <f>F756*G756</f>
        <v>31.516240000000003</v>
      </c>
      <c r="J756" s="57">
        <f>F756*G756</f>
        <v>31.516240000000003</v>
      </c>
      <c r="K756" s="40"/>
      <c r="O756" s="253"/>
      <c r="P756" s="255"/>
      <c r="Q756" s="254"/>
      <c r="R756" s="254"/>
      <c r="S756" s="255"/>
      <c r="T756" s="255"/>
      <c r="V756" s="255"/>
      <c r="W756" s="254"/>
      <c r="X756" s="255"/>
    </row>
    <row r="757" spans="1:24" s="44" customFormat="1" ht="13.5" customHeight="1">
      <c r="A757" s="400"/>
      <c r="B757" s="404"/>
      <c r="C757" s="404"/>
      <c r="D757" s="405" t="s">
        <v>696</v>
      </c>
      <c r="E757" s="1031"/>
      <c r="F757" s="1032"/>
      <c r="G757" s="407"/>
      <c r="H757" s="386">
        <f>SUM(H754:H756)</f>
        <v>3052.37</v>
      </c>
      <c r="I757" s="59">
        <f>SUM(I754:I756)</f>
        <v>70.081550000000007</v>
      </c>
      <c r="J757" s="60">
        <f>SUM(J754:J756)</f>
        <v>3122.4515499999998</v>
      </c>
      <c r="K757" s="40"/>
      <c r="O757" s="253"/>
      <c r="P757" s="255"/>
      <c r="Q757" s="254"/>
      <c r="R757" s="254"/>
      <c r="S757" s="255"/>
      <c r="T757" s="255"/>
      <c r="V757" s="255"/>
      <c r="W757" s="254"/>
      <c r="X757" s="255"/>
    </row>
    <row r="758" spans="1:24" s="44" customFormat="1" ht="13.5" customHeight="1">
      <c r="A758" s="384" t="s">
        <v>1052</v>
      </c>
      <c r="B758" s="1029" t="s">
        <v>1095</v>
      </c>
      <c r="C758" s="1030"/>
      <c r="D758" s="1030"/>
      <c r="E758" s="409"/>
      <c r="F758" s="409"/>
      <c r="G758" s="409"/>
      <c r="H758" s="409"/>
      <c r="I758" s="409"/>
      <c r="J758" s="410"/>
      <c r="O758" s="253"/>
      <c r="P758" s="255"/>
      <c r="Q758" s="254"/>
      <c r="R758" s="254"/>
      <c r="S758" s="255"/>
      <c r="T758" s="255"/>
      <c r="V758" s="255"/>
      <c r="W758" s="254"/>
      <c r="X758" s="255"/>
    </row>
    <row r="759" spans="1:24" s="44" customFormat="1" ht="13.5" customHeight="1">
      <c r="A759" s="401"/>
      <c r="B759" s="401"/>
      <c r="C759" s="401"/>
      <c r="D759" s="401"/>
      <c r="E759" s="63"/>
      <c r="F759" s="63"/>
      <c r="G759" s="63"/>
      <c r="H759" s="63"/>
      <c r="I759" s="63"/>
      <c r="J759" s="63"/>
      <c r="P759" s="256"/>
      <c r="Q759" s="254"/>
    </row>
    <row r="760" spans="1:24" s="44" customFormat="1" ht="13.5" customHeight="1">
      <c r="A760" s="372" t="s">
        <v>697</v>
      </c>
      <c r="B760" s="508"/>
      <c r="C760" s="438" t="s">
        <v>1228</v>
      </c>
      <c r="D760" s="498" t="s">
        <v>165</v>
      </c>
      <c r="E760" s="440" t="s">
        <v>411</v>
      </c>
      <c r="F760" s="417" t="s">
        <v>692</v>
      </c>
      <c r="G760" s="417" t="s">
        <v>693</v>
      </c>
      <c r="H760" s="417" t="s">
        <v>694</v>
      </c>
      <c r="I760" s="417" t="s">
        <v>695</v>
      </c>
      <c r="J760" s="424" t="s">
        <v>696</v>
      </c>
    </row>
    <row r="761" spans="1:24" s="44" customFormat="1" ht="13.5" customHeight="1">
      <c r="A761" s="377" t="s">
        <v>698</v>
      </c>
      <c r="B761" s="509" t="s">
        <v>409</v>
      </c>
      <c r="C761" s="472">
        <v>39605</v>
      </c>
      <c r="D761" s="401" t="s">
        <v>1454</v>
      </c>
      <c r="E761" s="411" t="s">
        <v>700</v>
      </c>
      <c r="F761" s="411">
        <v>1</v>
      </c>
      <c r="G761" s="510">
        <v>13.91</v>
      </c>
      <c r="H761" s="397">
        <f>F761*G761</f>
        <v>13.91</v>
      </c>
      <c r="I761" s="512"/>
      <c r="J761" s="54">
        <f>H761</f>
        <v>13.91</v>
      </c>
      <c r="K761" s="40"/>
    </row>
    <row r="762" spans="1:24" s="44" customFormat="1" ht="13.5" customHeight="1">
      <c r="A762" s="377" t="s">
        <v>698</v>
      </c>
      <c r="B762" s="392" t="s">
        <v>406</v>
      </c>
      <c r="C762" s="392">
        <v>88247</v>
      </c>
      <c r="D762" s="447" t="s">
        <v>746</v>
      </c>
      <c r="E762" s="411" t="s">
        <v>412</v>
      </c>
      <c r="F762" s="513">
        <v>0.2</v>
      </c>
      <c r="G762" s="503">
        <v>26.96</v>
      </c>
      <c r="H762" s="395"/>
      <c r="I762" s="56">
        <f>F762*G762</f>
        <v>5.3920000000000003</v>
      </c>
      <c r="J762" s="57">
        <f>F762*G762</f>
        <v>5.3920000000000003</v>
      </c>
      <c r="K762" s="40"/>
    </row>
    <row r="763" spans="1:24" s="44" customFormat="1" ht="13.5" customHeight="1">
      <c r="A763" s="377" t="s">
        <v>698</v>
      </c>
      <c r="B763" s="392" t="s">
        <v>406</v>
      </c>
      <c r="C763" s="614">
        <v>88264</v>
      </c>
      <c r="D763" s="447" t="s">
        <v>747</v>
      </c>
      <c r="E763" s="411" t="s">
        <v>412</v>
      </c>
      <c r="F763" s="513">
        <v>0.2</v>
      </c>
      <c r="G763" s="503">
        <v>32.99</v>
      </c>
      <c r="H763" s="395"/>
      <c r="I763" s="56">
        <f>F763*G763</f>
        <v>6.5980000000000008</v>
      </c>
      <c r="J763" s="57">
        <f>F763*G763</f>
        <v>6.5980000000000008</v>
      </c>
      <c r="K763" s="40"/>
    </row>
    <row r="764" spans="1:24" s="44" customFormat="1" ht="13.5" customHeight="1">
      <c r="A764" s="515"/>
      <c r="B764" s="516"/>
      <c r="C764" s="476"/>
      <c r="D764" s="451" t="s">
        <v>696</v>
      </c>
      <c r="E764" s="517"/>
      <c r="F764" s="518"/>
      <c r="G764" s="519"/>
      <c r="H764" s="522">
        <f>SUM(H761:H763)</f>
        <v>13.91</v>
      </c>
      <c r="I764" s="59">
        <f>SUM(I761:I763)</f>
        <v>11.990000000000002</v>
      </c>
      <c r="J764" s="60">
        <f>SUM(J761:J763)</f>
        <v>25.9</v>
      </c>
    </row>
    <row r="765" spans="1:24" s="44" customFormat="1" ht="13.5" customHeight="1">
      <c r="A765" s="384" t="s">
        <v>1052</v>
      </c>
      <c r="B765" s="1029" t="s">
        <v>1455</v>
      </c>
      <c r="C765" s="1030"/>
      <c r="D765" s="1030"/>
      <c r="E765" s="409"/>
      <c r="F765" s="409"/>
      <c r="G765" s="409"/>
      <c r="H765" s="409"/>
      <c r="I765" s="409"/>
      <c r="J765" s="410"/>
    </row>
    <row r="766" spans="1:24" s="44" customFormat="1" ht="13.5" customHeight="1">
      <c r="A766" s="401"/>
      <c r="B766" s="401"/>
      <c r="C766" s="401"/>
      <c r="D766" s="401"/>
      <c r="E766" s="63"/>
      <c r="F766" s="63"/>
      <c r="G766" s="63"/>
      <c r="H766" s="63"/>
      <c r="I766" s="63"/>
      <c r="J766" s="63"/>
    </row>
    <row r="767" spans="1:24" s="44" customFormat="1" ht="13.5" customHeight="1">
      <c r="A767" s="372" t="s">
        <v>697</v>
      </c>
      <c r="B767" s="508"/>
      <c r="C767" s="438" t="s">
        <v>1230</v>
      </c>
      <c r="D767" s="498" t="s">
        <v>1286</v>
      </c>
      <c r="E767" s="440" t="s">
        <v>411</v>
      </c>
      <c r="F767" s="417" t="s">
        <v>692</v>
      </c>
      <c r="G767" s="417" t="s">
        <v>693</v>
      </c>
      <c r="H767" s="417" t="s">
        <v>694</v>
      </c>
      <c r="I767" s="417" t="s">
        <v>695</v>
      </c>
      <c r="J767" s="424" t="s">
        <v>696</v>
      </c>
    </row>
    <row r="768" spans="1:24" s="44" customFormat="1" ht="13.5" customHeight="1">
      <c r="A768" s="377" t="s">
        <v>698</v>
      </c>
      <c r="B768" s="509" t="s">
        <v>409</v>
      </c>
      <c r="C768" s="472">
        <v>39604</v>
      </c>
      <c r="D768" s="401" t="s">
        <v>1456</v>
      </c>
      <c r="E768" s="411" t="s">
        <v>700</v>
      </c>
      <c r="F768" s="411">
        <v>1</v>
      </c>
      <c r="G768" s="510">
        <v>12.81</v>
      </c>
      <c r="H768" s="397">
        <f>F768*G768</f>
        <v>12.81</v>
      </c>
      <c r="I768" s="512"/>
      <c r="J768" s="54">
        <f>H768</f>
        <v>12.81</v>
      </c>
      <c r="K768" s="40"/>
    </row>
    <row r="769" spans="1:11" s="44" customFormat="1" ht="13.5" customHeight="1">
      <c r="A769" s="377" t="s">
        <v>698</v>
      </c>
      <c r="B769" s="392" t="s">
        <v>406</v>
      </c>
      <c r="C769" s="392">
        <v>88247</v>
      </c>
      <c r="D769" s="447" t="s">
        <v>746</v>
      </c>
      <c r="E769" s="411" t="s">
        <v>412</v>
      </c>
      <c r="F769" s="513">
        <v>0.2</v>
      </c>
      <c r="G769" s="503">
        <v>26.96</v>
      </c>
      <c r="H769" s="395"/>
      <c r="I769" s="56">
        <f>F769*G769</f>
        <v>5.3920000000000003</v>
      </c>
      <c r="J769" s="57">
        <f>F769*G769</f>
        <v>5.3920000000000003</v>
      </c>
      <c r="K769" s="40"/>
    </row>
    <row r="770" spans="1:11" s="44" customFormat="1" ht="13.5" customHeight="1">
      <c r="A770" s="377" t="s">
        <v>698</v>
      </c>
      <c r="B770" s="392" t="s">
        <v>406</v>
      </c>
      <c r="C770" s="614">
        <v>88264</v>
      </c>
      <c r="D770" s="447" t="s">
        <v>747</v>
      </c>
      <c r="E770" s="411" t="s">
        <v>412</v>
      </c>
      <c r="F770" s="513">
        <v>0.2</v>
      </c>
      <c r="G770" s="503">
        <v>32.99</v>
      </c>
      <c r="H770" s="395"/>
      <c r="I770" s="56">
        <f>F770*G770</f>
        <v>6.5980000000000008</v>
      </c>
      <c r="J770" s="57">
        <f>F770*G770</f>
        <v>6.5980000000000008</v>
      </c>
      <c r="K770" s="40"/>
    </row>
    <row r="771" spans="1:11" s="44" customFormat="1" ht="13.5" customHeight="1">
      <c r="A771" s="515"/>
      <c r="B771" s="516"/>
      <c r="C771" s="476"/>
      <c r="D771" s="451" t="s">
        <v>696</v>
      </c>
      <c r="E771" s="517"/>
      <c r="F771" s="518"/>
      <c r="G771" s="519"/>
      <c r="H771" s="522">
        <f>SUM(H768:H770)</f>
        <v>12.81</v>
      </c>
      <c r="I771" s="59">
        <f>SUM(I768:I770)</f>
        <v>11.990000000000002</v>
      </c>
      <c r="J771" s="60">
        <f>SUM(J768:J770)</f>
        <v>24.800000000000004</v>
      </c>
    </row>
    <row r="772" spans="1:11" s="44" customFormat="1" ht="13.5" customHeight="1">
      <c r="A772" s="384" t="s">
        <v>1052</v>
      </c>
      <c r="B772" s="1029" t="s">
        <v>1455</v>
      </c>
      <c r="C772" s="1030"/>
      <c r="D772" s="1030"/>
      <c r="E772" s="409"/>
      <c r="F772" s="409"/>
      <c r="G772" s="409"/>
      <c r="H772" s="409"/>
      <c r="I772" s="409"/>
      <c r="J772" s="410"/>
    </row>
    <row r="773" spans="1:11" s="44" customFormat="1" ht="13.5" customHeight="1">
      <c r="A773" s="401"/>
      <c r="B773" s="401"/>
      <c r="C773" s="401"/>
      <c r="D773" s="401"/>
      <c r="E773" s="63"/>
      <c r="F773" s="63"/>
      <c r="G773" s="63"/>
      <c r="H773" s="63"/>
      <c r="I773" s="63"/>
      <c r="J773" s="63"/>
    </row>
    <row r="774" spans="1:11" s="44" customFormat="1" ht="13.5" customHeight="1">
      <c r="A774" s="463" t="s">
        <v>697</v>
      </c>
      <c r="B774" s="440"/>
      <c r="C774" s="438" t="s">
        <v>1236</v>
      </c>
      <c r="D774" s="617" t="s">
        <v>1641</v>
      </c>
      <c r="E774" s="440" t="s">
        <v>411</v>
      </c>
      <c r="F774" s="417" t="s">
        <v>692</v>
      </c>
      <c r="G774" s="417" t="s">
        <v>693</v>
      </c>
      <c r="H774" s="417" t="s">
        <v>694</v>
      </c>
      <c r="I774" s="417" t="s">
        <v>695</v>
      </c>
      <c r="J774" s="424" t="s">
        <v>696</v>
      </c>
    </row>
    <row r="775" spans="1:11" s="44" customFormat="1" ht="13.5" customHeight="1">
      <c r="A775" s="446" t="s">
        <v>699</v>
      </c>
      <c r="B775" s="432" t="s">
        <v>409</v>
      </c>
      <c r="C775" s="478" t="s">
        <v>1289</v>
      </c>
      <c r="D775" s="617" t="s">
        <v>1641</v>
      </c>
      <c r="E775" s="411" t="s">
        <v>737</v>
      </c>
      <c r="F775" s="62">
        <v>1</v>
      </c>
      <c r="G775" s="112">
        <v>150.56</v>
      </c>
      <c r="H775" s="52">
        <f>F775*G775</f>
        <v>150.56</v>
      </c>
      <c r="I775" s="53"/>
      <c r="J775" s="54">
        <f>F775*G775</f>
        <v>150.56</v>
      </c>
    </row>
    <row r="776" spans="1:11" s="44" customFormat="1" ht="13.5" customHeight="1">
      <c r="A776" s="446" t="s">
        <v>698</v>
      </c>
      <c r="B776" s="432" t="s">
        <v>406</v>
      </c>
      <c r="C776" s="441">
        <v>88247</v>
      </c>
      <c r="D776" s="447" t="s">
        <v>746</v>
      </c>
      <c r="E776" s="432" t="s">
        <v>740</v>
      </c>
      <c r="F776" s="64">
        <v>0.15</v>
      </c>
      <c r="G776" s="503">
        <v>26.96</v>
      </c>
      <c r="H776" s="55"/>
      <c r="I776" s="56">
        <f>F776*G776</f>
        <v>4.0439999999999996</v>
      </c>
      <c r="J776" s="57">
        <f>F776*G776</f>
        <v>4.0439999999999996</v>
      </c>
      <c r="K776" s="40"/>
    </row>
    <row r="777" spans="1:11" s="44" customFormat="1" ht="13.5" customHeight="1">
      <c r="A777" s="446" t="s">
        <v>698</v>
      </c>
      <c r="B777" s="432" t="s">
        <v>406</v>
      </c>
      <c r="C777" s="441">
        <v>88264</v>
      </c>
      <c r="D777" s="447" t="s">
        <v>747</v>
      </c>
      <c r="E777" s="432" t="s">
        <v>740</v>
      </c>
      <c r="F777" s="64">
        <v>0.15</v>
      </c>
      <c r="G777" s="503">
        <v>32.99</v>
      </c>
      <c r="H777" s="55"/>
      <c r="I777" s="56">
        <f>F777*G777</f>
        <v>4.9485000000000001</v>
      </c>
      <c r="J777" s="57">
        <f>F777*G777</f>
        <v>4.9485000000000001</v>
      </c>
      <c r="K777" s="40"/>
    </row>
    <row r="778" spans="1:11" s="44" customFormat="1" ht="13.5" customHeight="1">
      <c r="A778" s="449"/>
      <c r="B778" s="469"/>
      <c r="C778" s="450"/>
      <c r="D778" s="451" t="s">
        <v>696</v>
      </c>
      <c r="E778" s="470"/>
      <c r="F778" s="61"/>
      <c r="G778" s="58"/>
      <c r="H778" s="59">
        <f>SUM(H775:H777)</f>
        <v>150.56</v>
      </c>
      <c r="I778" s="59">
        <f>SUM(I775:I777)</f>
        <v>8.9924999999999997</v>
      </c>
      <c r="J778" s="60">
        <f>SUM(J775:J777)</f>
        <v>159.55250000000001</v>
      </c>
    </row>
    <row r="779" spans="1:11" s="44" customFormat="1" ht="13.5" customHeight="1">
      <c r="A779" s="469" t="s">
        <v>1052</v>
      </c>
      <c r="B779" s="1027" t="s">
        <v>1287</v>
      </c>
      <c r="C779" s="1028"/>
      <c r="D779" s="1028"/>
      <c r="E779" s="457"/>
      <c r="F779" s="457"/>
      <c r="G779" s="457"/>
      <c r="H779" s="457"/>
      <c r="I779" s="457"/>
      <c r="J779" s="458"/>
    </row>
    <row r="780" spans="1:11" s="44" customFormat="1" ht="13.5" customHeight="1">
      <c r="A780" s="401"/>
      <c r="B780" s="401"/>
      <c r="C780" s="401"/>
      <c r="D780" s="401"/>
      <c r="E780" s="63"/>
      <c r="F780" s="63"/>
      <c r="G780" s="63"/>
      <c r="H780" s="63"/>
      <c r="I780" s="63"/>
      <c r="J780" s="63"/>
    </row>
    <row r="781" spans="1:11" s="44" customFormat="1" ht="13.5" customHeight="1">
      <c r="A781" s="463" t="s">
        <v>697</v>
      </c>
      <c r="B781" s="440"/>
      <c r="C781" s="438" t="s">
        <v>1238</v>
      </c>
      <c r="D781" s="498" t="s">
        <v>1044</v>
      </c>
      <c r="E781" s="440" t="s">
        <v>411</v>
      </c>
      <c r="F781" s="417" t="s">
        <v>692</v>
      </c>
      <c r="G781" s="417" t="s">
        <v>693</v>
      </c>
      <c r="H781" s="417" t="s">
        <v>694</v>
      </c>
      <c r="I781" s="417" t="s">
        <v>695</v>
      </c>
      <c r="J781" s="424" t="s">
        <v>696</v>
      </c>
    </row>
    <row r="782" spans="1:11" s="44" customFormat="1" ht="13.5" customHeight="1">
      <c r="A782" s="446" t="s">
        <v>819</v>
      </c>
      <c r="B782" s="432" t="s">
        <v>409</v>
      </c>
      <c r="C782" s="478">
        <v>30273</v>
      </c>
      <c r="D782" s="506" t="s">
        <v>1044</v>
      </c>
      <c r="E782" s="411" t="s">
        <v>737</v>
      </c>
      <c r="F782" s="62">
        <v>1</v>
      </c>
      <c r="G782" s="112">
        <v>51799</v>
      </c>
      <c r="H782" s="52">
        <f>F782*G782</f>
        <v>51799</v>
      </c>
      <c r="I782" s="53"/>
      <c r="J782" s="54">
        <f>F782*G782</f>
        <v>51799</v>
      </c>
      <c r="K782" s="855"/>
    </row>
    <row r="783" spans="1:11" s="44" customFormat="1" ht="13.5" customHeight="1">
      <c r="A783" s="446" t="s">
        <v>698</v>
      </c>
      <c r="B783" s="432" t="s">
        <v>406</v>
      </c>
      <c r="C783" s="441">
        <v>88247</v>
      </c>
      <c r="D783" s="447" t="s">
        <v>746</v>
      </c>
      <c r="E783" s="432" t="s">
        <v>740</v>
      </c>
      <c r="F783" s="64">
        <v>9.3800000000000008</v>
      </c>
      <c r="G783" s="503">
        <v>26.96</v>
      </c>
      <c r="H783" s="55"/>
      <c r="I783" s="56">
        <f>F783*G783</f>
        <v>252.88480000000004</v>
      </c>
      <c r="J783" s="57">
        <f>F783*G783</f>
        <v>252.88480000000004</v>
      </c>
      <c r="K783" s="40"/>
    </row>
    <row r="784" spans="1:11" s="44" customFormat="1" ht="13.5" customHeight="1">
      <c r="A784" s="446" t="s">
        <v>698</v>
      </c>
      <c r="B784" s="432" t="s">
        <v>406</v>
      </c>
      <c r="C784" s="441">
        <v>88264</v>
      </c>
      <c r="D784" s="447" t="s">
        <v>747</v>
      </c>
      <c r="E784" s="432" t="s">
        <v>740</v>
      </c>
      <c r="F784" s="64">
        <v>8.4499999999999993</v>
      </c>
      <c r="G784" s="503">
        <v>32.99</v>
      </c>
      <c r="H784" s="55"/>
      <c r="I784" s="56">
        <f>F784*G784</f>
        <v>278.76549999999997</v>
      </c>
      <c r="J784" s="57">
        <f>F784*G784</f>
        <v>278.76549999999997</v>
      </c>
      <c r="K784" s="40"/>
    </row>
    <row r="785" spans="1:11" s="44" customFormat="1" ht="13.5" customHeight="1">
      <c r="A785" s="449"/>
      <c r="B785" s="469"/>
      <c r="C785" s="450"/>
      <c r="D785" s="451" t="s">
        <v>696</v>
      </c>
      <c r="E785" s="470"/>
      <c r="F785" s="61"/>
      <c r="G785" s="58"/>
      <c r="H785" s="59">
        <f>SUM(H782:H784)</f>
        <v>51799</v>
      </c>
      <c r="I785" s="59">
        <f>SUM(I782:I784)</f>
        <v>531.65030000000002</v>
      </c>
      <c r="J785" s="60">
        <f>SUM(J782:J784)</f>
        <v>52330.650300000001</v>
      </c>
    </row>
    <row r="786" spans="1:11" s="44" customFormat="1" ht="13.5" customHeight="1">
      <c r="A786" s="469" t="s">
        <v>1052</v>
      </c>
      <c r="B786" s="1027" t="s">
        <v>1288</v>
      </c>
      <c r="C786" s="1028"/>
      <c r="D786" s="1028"/>
      <c r="E786" s="457"/>
      <c r="F786" s="457"/>
      <c r="G786" s="457"/>
      <c r="H786" s="457"/>
      <c r="I786" s="457"/>
      <c r="J786" s="458"/>
    </row>
    <row r="787" spans="1:11" s="44" customFormat="1" ht="13.5" customHeight="1">
      <c r="A787" s="524"/>
      <c r="B787" s="459"/>
      <c r="C787" s="459"/>
      <c r="D787" s="459"/>
      <c r="E787" s="460"/>
      <c r="F787" s="460"/>
      <c r="G787" s="460"/>
      <c r="H787" s="460"/>
      <c r="I787" s="460"/>
      <c r="J787" s="461"/>
    </row>
    <row r="788" spans="1:11" s="44" customFormat="1" ht="25.5">
      <c r="A788" s="463" t="s">
        <v>697</v>
      </c>
      <c r="B788" s="440"/>
      <c r="C788" s="438" t="s">
        <v>1242</v>
      </c>
      <c r="D788" s="439" t="s">
        <v>1566</v>
      </c>
      <c r="E788" s="440" t="s">
        <v>411</v>
      </c>
      <c r="F788" s="525" t="s">
        <v>692</v>
      </c>
      <c r="G788" s="525" t="s">
        <v>693</v>
      </c>
      <c r="H788" s="525" t="s">
        <v>694</v>
      </c>
      <c r="I788" s="525" t="s">
        <v>695</v>
      </c>
      <c r="J788" s="526" t="s">
        <v>696</v>
      </c>
    </row>
    <row r="789" spans="1:11" s="44" customFormat="1" ht="25.5">
      <c r="A789" s="446" t="s">
        <v>699</v>
      </c>
      <c r="B789" s="432" t="s">
        <v>409</v>
      </c>
      <c r="C789" s="478" t="s">
        <v>1500</v>
      </c>
      <c r="D789" s="480" t="s">
        <v>1566</v>
      </c>
      <c r="E789" s="55" t="s">
        <v>737</v>
      </c>
      <c r="F789" s="64">
        <v>1</v>
      </c>
      <c r="G789" s="112">
        <v>1786.55</v>
      </c>
      <c r="H789" s="56">
        <f>F789*G789</f>
        <v>1786.55</v>
      </c>
      <c r="I789" s="527"/>
      <c r="J789" s="57">
        <f>F789*G789</f>
        <v>1786.55</v>
      </c>
    </row>
    <row r="790" spans="1:11" s="44" customFormat="1" ht="13.5" customHeight="1">
      <c r="A790" s="446" t="s">
        <v>698</v>
      </c>
      <c r="B790" s="432" t="s">
        <v>406</v>
      </c>
      <c r="C790" s="441">
        <v>88266</v>
      </c>
      <c r="D790" s="528" t="s">
        <v>1296</v>
      </c>
      <c r="E790" s="432" t="s">
        <v>740</v>
      </c>
      <c r="F790" s="64">
        <v>1.8</v>
      </c>
      <c r="G790" s="503">
        <v>36.65</v>
      </c>
      <c r="H790" s="55"/>
      <c r="I790" s="56">
        <f>F790*G790</f>
        <v>65.97</v>
      </c>
      <c r="J790" s="57">
        <f>F790*G790</f>
        <v>65.97</v>
      </c>
      <c r="K790" s="40"/>
    </row>
    <row r="791" spans="1:11" s="44" customFormat="1" ht="13.5" customHeight="1">
      <c r="A791" s="446" t="s">
        <v>698</v>
      </c>
      <c r="B791" s="432" t="s">
        <v>406</v>
      </c>
      <c r="C791" s="441">
        <v>88264</v>
      </c>
      <c r="D791" s="441" t="s">
        <v>747</v>
      </c>
      <c r="E791" s="432" t="s">
        <v>740</v>
      </c>
      <c r="F791" s="64">
        <v>1.8</v>
      </c>
      <c r="G791" s="503">
        <v>32.99</v>
      </c>
      <c r="H791" s="55"/>
      <c r="I791" s="56">
        <f>F791*G791</f>
        <v>59.382000000000005</v>
      </c>
      <c r="J791" s="57">
        <f>F791*G791</f>
        <v>59.382000000000005</v>
      </c>
      <c r="K791" s="40"/>
    </row>
    <row r="792" spans="1:11" s="44" customFormat="1" ht="13.5" customHeight="1">
      <c r="A792" s="469"/>
      <c r="B792" s="469"/>
      <c r="C792" s="469"/>
      <c r="D792" s="463" t="s">
        <v>696</v>
      </c>
      <c r="E792" s="55"/>
      <c r="F792" s="55"/>
      <c r="G792" s="55"/>
      <c r="H792" s="529">
        <f>SUM(H789:H791)</f>
        <v>1786.55</v>
      </c>
      <c r="I792" s="529">
        <f>SUM(I789:I791)</f>
        <v>125.352</v>
      </c>
      <c r="J792" s="60">
        <f>SUM(J789:J791)</f>
        <v>1911.902</v>
      </c>
    </row>
    <row r="793" spans="1:11" s="44" customFormat="1" ht="13.5" customHeight="1">
      <c r="A793" s="469" t="s">
        <v>1052</v>
      </c>
      <c r="B793" s="1027" t="s">
        <v>1300</v>
      </c>
      <c r="C793" s="1028"/>
      <c r="D793" s="1028"/>
      <c r="E793" s="457"/>
      <c r="F793" s="457"/>
      <c r="G793" s="457"/>
      <c r="H793" s="457"/>
      <c r="I793" s="457"/>
      <c r="J793" s="458"/>
    </row>
    <row r="794" spans="1:11" s="44" customFormat="1" ht="13.5" customHeight="1">
      <c r="A794" s="425"/>
      <c r="B794" s="425"/>
      <c r="C794" s="425"/>
      <c r="D794" s="426"/>
      <c r="E794" s="427"/>
      <c r="F794" s="428"/>
      <c r="G794" s="428"/>
      <c r="H794" s="485"/>
      <c r="I794" s="427"/>
      <c r="J794" s="487"/>
    </row>
    <row r="795" spans="1:11" s="44" customFormat="1" ht="51">
      <c r="A795" s="463" t="s">
        <v>697</v>
      </c>
      <c r="B795" s="440"/>
      <c r="C795" s="438" t="s">
        <v>1245</v>
      </c>
      <c r="D795" s="618" t="s">
        <v>1567</v>
      </c>
      <c r="E795" s="440" t="s">
        <v>411</v>
      </c>
      <c r="F795" s="417" t="s">
        <v>692</v>
      </c>
      <c r="G795" s="417" t="s">
        <v>693</v>
      </c>
      <c r="H795" s="417" t="s">
        <v>694</v>
      </c>
      <c r="I795" s="417" t="s">
        <v>695</v>
      </c>
      <c r="J795" s="424" t="s">
        <v>696</v>
      </c>
    </row>
    <row r="796" spans="1:11" s="44" customFormat="1" ht="42.75" customHeight="1">
      <c r="A796" s="446" t="s">
        <v>699</v>
      </c>
      <c r="B796" s="432" t="s">
        <v>409</v>
      </c>
      <c r="C796" s="478" t="s">
        <v>1294</v>
      </c>
      <c r="D796" s="619" t="s">
        <v>1567</v>
      </c>
      <c r="E796" s="411" t="s">
        <v>737</v>
      </c>
      <c r="F796" s="62">
        <v>1</v>
      </c>
      <c r="G796" s="112">
        <v>350.32</v>
      </c>
      <c r="H796" s="52">
        <f>F796*G796</f>
        <v>350.32</v>
      </c>
      <c r="I796" s="53"/>
      <c r="J796" s="54">
        <f>F796*G796</f>
        <v>350.32</v>
      </c>
    </row>
    <row r="797" spans="1:11" s="44" customFormat="1" ht="13.5" customHeight="1">
      <c r="A797" s="446" t="s">
        <v>698</v>
      </c>
      <c r="B797" s="432" t="s">
        <v>406</v>
      </c>
      <c r="C797" s="441">
        <v>88266</v>
      </c>
      <c r="D797" s="447" t="s">
        <v>1296</v>
      </c>
      <c r="E797" s="432" t="s">
        <v>740</v>
      </c>
      <c r="F797" s="64">
        <v>1.65</v>
      </c>
      <c r="G797" s="503">
        <v>36.65</v>
      </c>
      <c r="H797" s="55"/>
      <c r="I797" s="56">
        <f>F797*G797</f>
        <v>60.472499999999997</v>
      </c>
      <c r="J797" s="57">
        <f>F797*G797</f>
        <v>60.472499999999997</v>
      </c>
      <c r="K797" s="40"/>
    </row>
    <row r="798" spans="1:11" s="44" customFormat="1" ht="13.5" customHeight="1">
      <c r="A798" s="446" t="s">
        <v>698</v>
      </c>
      <c r="B798" s="432" t="s">
        <v>406</v>
      </c>
      <c r="C798" s="441">
        <v>88247</v>
      </c>
      <c r="D798" s="447" t="s">
        <v>746</v>
      </c>
      <c r="E798" s="432" t="s">
        <v>740</v>
      </c>
      <c r="F798" s="64">
        <v>1.5</v>
      </c>
      <c r="G798" s="503">
        <v>26.96</v>
      </c>
      <c r="H798" s="55"/>
      <c r="I798" s="56">
        <f>F798*G798</f>
        <v>40.44</v>
      </c>
      <c r="J798" s="57">
        <f>F798*G798</f>
        <v>40.44</v>
      </c>
      <c r="K798" s="40"/>
    </row>
    <row r="799" spans="1:11" s="44" customFormat="1" ht="13.5" customHeight="1">
      <c r="A799" s="449"/>
      <c r="B799" s="469"/>
      <c r="C799" s="450"/>
      <c r="D799" s="451" t="s">
        <v>696</v>
      </c>
      <c r="E799" s="470"/>
      <c r="F799" s="61"/>
      <c r="G799" s="58"/>
      <c r="H799" s="59">
        <f>SUM(H796:H798)</f>
        <v>350.32</v>
      </c>
      <c r="I799" s="59">
        <f>SUM(I796:I798)</f>
        <v>100.91249999999999</v>
      </c>
      <c r="J799" s="60">
        <f>SUM(J796:J798)</f>
        <v>451.23250000000002</v>
      </c>
    </row>
    <row r="800" spans="1:11" s="44" customFormat="1" ht="13.5" customHeight="1">
      <c r="A800" s="469" t="s">
        <v>1052</v>
      </c>
      <c r="B800" s="1027" t="s">
        <v>1295</v>
      </c>
      <c r="C800" s="1028"/>
      <c r="D800" s="1028"/>
      <c r="E800" s="457"/>
      <c r="F800" s="457"/>
      <c r="G800" s="457"/>
      <c r="H800" s="457"/>
      <c r="I800" s="457"/>
      <c r="J800" s="458"/>
    </row>
    <row r="801" spans="1:11" s="44" customFormat="1" ht="13.5" customHeight="1">
      <c r="A801" s="425"/>
      <c r="B801" s="425"/>
      <c r="C801" s="425"/>
      <c r="D801" s="426"/>
      <c r="E801" s="427"/>
      <c r="F801" s="428"/>
      <c r="G801" s="428"/>
      <c r="H801" s="485"/>
      <c r="I801" s="427"/>
      <c r="J801" s="487"/>
    </row>
    <row r="802" spans="1:11" s="44" customFormat="1" ht="25.5">
      <c r="A802" s="463" t="s">
        <v>697</v>
      </c>
      <c r="B802" s="440"/>
      <c r="C802" s="438" t="s">
        <v>1249</v>
      </c>
      <c r="D802" s="439" t="s">
        <v>1569</v>
      </c>
      <c r="E802" s="440" t="s">
        <v>411</v>
      </c>
      <c r="F802" s="417" t="s">
        <v>692</v>
      </c>
      <c r="G802" s="417" t="s">
        <v>693</v>
      </c>
      <c r="H802" s="417" t="s">
        <v>694</v>
      </c>
      <c r="I802" s="417" t="s">
        <v>695</v>
      </c>
      <c r="J802" s="424" t="s">
        <v>696</v>
      </c>
    </row>
    <row r="803" spans="1:11" s="44" customFormat="1" ht="25.5">
      <c r="A803" s="446" t="s">
        <v>699</v>
      </c>
      <c r="B803" s="432" t="s">
        <v>409</v>
      </c>
      <c r="C803" s="478" t="s">
        <v>1584</v>
      </c>
      <c r="D803" s="480" t="s">
        <v>1569</v>
      </c>
      <c r="E803" s="411" t="s">
        <v>737</v>
      </c>
      <c r="F803" s="64">
        <v>1</v>
      </c>
      <c r="G803" s="112">
        <v>4978</v>
      </c>
      <c r="H803" s="56">
        <f>F803*G803</f>
        <v>4978</v>
      </c>
      <c r="I803" s="495"/>
      <c r="J803" s="54">
        <f>F803*G803</f>
        <v>4978</v>
      </c>
    </row>
    <row r="804" spans="1:11" s="44" customFormat="1" ht="13.5" customHeight="1">
      <c r="A804" s="449"/>
      <c r="B804" s="469"/>
      <c r="C804" s="450"/>
      <c r="D804" s="451" t="s">
        <v>696</v>
      </c>
      <c r="E804" s="470"/>
      <c r="F804" s="61"/>
      <c r="G804" s="58"/>
      <c r="H804" s="59">
        <f>SUM(H803:H803)</f>
        <v>4978</v>
      </c>
      <c r="I804" s="59">
        <f>SUM(I803:I803)</f>
        <v>0</v>
      </c>
      <c r="J804" s="60">
        <f>SUM(J803:J803)</f>
        <v>4978</v>
      </c>
    </row>
    <row r="805" spans="1:11" s="44" customFormat="1" ht="13.5" customHeight="1">
      <c r="A805" s="469"/>
      <c r="B805" s="1027"/>
      <c r="C805" s="1028"/>
      <c r="D805" s="1028"/>
      <c r="E805" s="457"/>
      <c r="F805" s="457"/>
      <c r="G805" s="457"/>
      <c r="H805" s="457"/>
      <c r="I805" s="457"/>
      <c r="J805" s="458"/>
    </row>
    <row r="806" spans="1:11" s="44" customFormat="1" ht="13.5" customHeight="1">
      <c r="A806" s="463" t="s">
        <v>697</v>
      </c>
      <c r="B806" s="440"/>
      <c r="C806" s="438" t="s">
        <v>1252</v>
      </c>
      <c r="D806" s="620" t="s">
        <v>1574</v>
      </c>
      <c r="E806" s="440" t="s">
        <v>411</v>
      </c>
      <c r="F806" s="417" t="s">
        <v>692</v>
      </c>
      <c r="G806" s="417" t="s">
        <v>693</v>
      </c>
      <c r="H806" s="417" t="s">
        <v>694</v>
      </c>
      <c r="I806" s="417" t="s">
        <v>695</v>
      </c>
      <c r="J806" s="424" t="s">
        <v>696</v>
      </c>
    </row>
    <row r="807" spans="1:11" s="44" customFormat="1" ht="13.5" customHeight="1">
      <c r="A807" s="446" t="s">
        <v>699</v>
      </c>
      <c r="B807" s="432" t="s">
        <v>409</v>
      </c>
      <c r="C807" s="478" t="s">
        <v>1585</v>
      </c>
      <c r="D807" s="530" t="s">
        <v>1574</v>
      </c>
      <c r="E807" s="411" t="s">
        <v>737</v>
      </c>
      <c r="F807" s="64">
        <v>1</v>
      </c>
      <c r="G807" s="112">
        <v>1151.06</v>
      </c>
      <c r="H807" s="56">
        <f>F807*G807</f>
        <v>1151.06</v>
      </c>
      <c r="I807" s="495"/>
      <c r="J807" s="54">
        <f>F807*G807</f>
        <v>1151.06</v>
      </c>
    </row>
    <row r="808" spans="1:11" s="44" customFormat="1" ht="13.5" customHeight="1">
      <c r="A808" s="449"/>
      <c r="B808" s="469"/>
      <c r="C808" s="450"/>
      <c r="D808" s="463" t="s">
        <v>696</v>
      </c>
      <c r="E808" s="470"/>
      <c r="F808" s="61"/>
      <c r="G808" s="58"/>
      <c r="H808" s="59">
        <f>SUM(H807:H807)</f>
        <v>1151.06</v>
      </c>
      <c r="I808" s="59">
        <f>SUM(I807:I807)</f>
        <v>0</v>
      </c>
      <c r="J808" s="60">
        <f>SUM(J807:J807)</f>
        <v>1151.06</v>
      </c>
    </row>
    <row r="809" spans="1:11" s="44" customFormat="1" ht="13.5" customHeight="1">
      <c r="A809" s="469"/>
      <c r="B809" s="1027"/>
      <c r="C809" s="1028"/>
      <c r="D809" s="1028"/>
      <c r="E809" s="457"/>
      <c r="F809" s="457"/>
      <c r="G809" s="457"/>
      <c r="H809" s="457"/>
      <c r="I809" s="457"/>
      <c r="J809" s="458"/>
    </row>
    <row r="810" spans="1:11" s="44" customFormat="1" ht="13.5" customHeight="1">
      <c r="A810" s="425"/>
      <c r="B810" s="425"/>
      <c r="C810" s="425"/>
      <c r="D810" s="426"/>
      <c r="E810" s="427"/>
      <c r="F810" s="428"/>
      <c r="G810" s="428"/>
      <c r="H810" s="485"/>
      <c r="I810" s="427"/>
      <c r="J810" s="487"/>
    </row>
    <row r="811" spans="1:11" s="44" customFormat="1" ht="76.5">
      <c r="A811" s="463" t="s">
        <v>697</v>
      </c>
      <c r="B811" s="440"/>
      <c r="C811" s="438" t="s">
        <v>1256</v>
      </c>
      <c r="D811" s="374" t="s">
        <v>145</v>
      </c>
      <c r="E811" s="440" t="s">
        <v>411</v>
      </c>
      <c r="F811" s="417" t="s">
        <v>692</v>
      </c>
      <c r="G811" s="417" t="s">
        <v>693</v>
      </c>
      <c r="H811" s="417" t="s">
        <v>694</v>
      </c>
      <c r="I811" s="417" t="s">
        <v>695</v>
      </c>
      <c r="J811" s="424" t="s">
        <v>696</v>
      </c>
    </row>
    <row r="812" spans="1:11" s="44" customFormat="1" ht="63.75">
      <c r="A812" s="446" t="s">
        <v>699</v>
      </c>
      <c r="B812" s="432" t="s">
        <v>409</v>
      </c>
      <c r="C812" s="478" t="s">
        <v>1297</v>
      </c>
      <c r="D812" s="379" t="s">
        <v>145</v>
      </c>
      <c r="E812" s="411" t="s">
        <v>737</v>
      </c>
      <c r="F812" s="62">
        <v>1</v>
      </c>
      <c r="G812" s="112">
        <v>4974.17</v>
      </c>
      <c r="H812" s="52">
        <f>F812*G812</f>
        <v>4974.17</v>
      </c>
      <c r="I812" s="53"/>
      <c r="J812" s="54">
        <f>F812*G812</f>
        <v>4974.17</v>
      </c>
    </row>
    <row r="813" spans="1:11" s="44" customFormat="1" ht="13.5" customHeight="1">
      <c r="A813" s="446" t="s">
        <v>698</v>
      </c>
      <c r="B813" s="432" t="s">
        <v>406</v>
      </c>
      <c r="C813" s="441">
        <v>88266</v>
      </c>
      <c r="D813" s="447" t="s">
        <v>1296</v>
      </c>
      <c r="E813" s="432" t="s">
        <v>740</v>
      </c>
      <c r="F813" s="111">
        <v>1.2749999999999999</v>
      </c>
      <c r="G813" s="503">
        <v>36.65</v>
      </c>
      <c r="H813" s="55"/>
      <c r="I813" s="56">
        <f>F813*G813</f>
        <v>46.728749999999998</v>
      </c>
      <c r="J813" s="57">
        <f>F813*G813</f>
        <v>46.728749999999998</v>
      </c>
      <c r="K813" s="40"/>
    </row>
    <row r="814" spans="1:11" s="44" customFormat="1" ht="13.5" customHeight="1">
      <c r="A814" s="446" t="s">
        <v>698</v>
      </c>
      <c r="B814" s="432" t="s">
        <v>406</v>
      </c>
      <c r="C814" s="441">
        <v>88247</v>
      </c>
      <c r="D814" s="447" t="s">
        <v>746</v>
      </c>
      <c r="E814" s="432" t="s">
        <v>740</v>
      </c>
      <c r="F814" s="111">
        <v>1.2749999999999999</v>
      </c>
      <c r="G814" s="503">
        <v>26.96</v>
      </c>
      <c r="H814" s="55"/>
      <c r="I814" s="56">
        <f>F814*G814</f>
        <v>34.373999999999995</v>
      </c>
      <c r="J814" s="57">
        <f>F814*G814</f>
        <v>34.373999999999995</v>
      </c>
      <c r="K814" s="40"/>
    </row>
    <row r="815" spans="1:11" s="44" customFormat="1" ht="13.5" customHeight="1">
      <c r="A815" s="449"/>
      <c r="B815" s="469"/>
      <c r="C815" s="450"/>
      <c r="D815" s="451" t="s">
        <v>696</v>
      </c>
      <c r="E815" s="470"/>
      <c r="F815" s="61"/>
      <c r="G815" s="58"/>
      <c r="H815" s="59">
        <f>SUM(H812:H814)</f>
        <v>4974.17</v>
      </c>
      <c r="I815" s="59">
        <f>SUM(I812:I814)</f>
        <v>81.102749999999986</v>
      </c>
      <c r="J815" s="60">
        <f>SUM(J812:J814)</f>
        <v>5055.2727500000001</v>
      </c>
    </row>
    <row r="816" spans="1:11" s="44" customFormat="1" ht="13.5" customHeight="1">
      <c r="A816" s="469" t="s">
        <v>1052</v>
      </c>
      <c r="B816" s="1027" t="s">
        <v>1299</v>
      </c>
      <c r="C816" s="1028"/>
      <c r="D816" s="1028"/>
      <c r="E816" s="457"/>
      <c r="F816" s="457"/>
      <c r="G816" s="457"/>
      <c r="H816" s="457"/>
      <c r="I816" s="457"/>
      <c r="J816" s="458"/>
    </row>
    <row r="817" spans="1:11" s="44" customFormat="1" ht="13.5" customHeight="1">
      <c r="A817" s="425"/>
      <c r="B817" s="425"/>
      <c r="C817" s="425"/>
      <c r="D817" s="426"/>
      <c r="E817" s="427"/>
      <c r="F817" s="428"/>
      <c r="G817" s="428"/>
      <c r="H817" s="485"/>
      <c r="I817" s="427"/>
      <c r="J817" s="487"/>
    </row>
    <row r="818" spans="1:11" s="44" customFormat="1" ht="13.5" customHeight="1">
      <c r="A818" s="524"/>
      <c r="B818" s="459"/>
      <c r="C818" s="459"/>
      <c r="D818" s="459"/>
      <c r="E818" s="460"/>
      <c r="F818" s="460"/>
      <c r="G818" s="460"/>
      <c r="H818" s="460"/>
      <c r="I818" s="460"/>
      <c r="J818" s="461"/>
    </row>
    <row r="819" spans="1:11" s="44" customFormat="1" ht="13.5" customHeight="1">
      <c r="A819" s="463" t="s">
        <v>697</v>
      </c>
      <c r="B819" s="463"/>
      <c r="C819" s="438" t="s">
        <v>1260</v>
      </c>
      <c r="D819" s="482" t="s">
        <v>1495</v>
      </c>
      <c r="E819" s="440" t="s">
        <v>411</v>
      </c>
      <c r="F819" s="440" t="s">
        <v>692</v>
      </c>
      <c r="G819" s="376" t="s">
        <v>693</v>
      </c>
      <c r="H819" s="440" t="s">
        <v>694</v>
      </c>
      <c r="I819" s="440" t="s">
        <v>695</v>
      </c>
      <c r="J819" s="440" t="s">
        <v>696</v>
      </c>
    </row>
    <row r="820" spans="1:11" s="44" customFormat="1" ht="13.5" customHeight="1">
      <c r="A820" s="446" t="s">
        <v>819</v>
      </c>
      <c r="B820" s="465" t="s">
        <v>409</v>
      </c>
      <c r="C820" s="441">
        <v>2898</v>
      </c>
      <c r="D820" s="467" t="s">
        <v>1481</v>
      </c>
      <c r="E820" s="411" t="s">
        <v>737</v>
      </c>
      <c r="F820" s="51">
        <v>1</v>
      </c>
      <c r="G820" s="466">
        <v>249.99</v>
      </c>
      <c r="H820" s="52">
        <f t="shared" ref="H820" si="59">F820*G820</f>
        <v>249.99</v>
      </c>
      <c r="I820" s="53"/>
      <c r="J820" s="54"/>
      <c r="K820" s="40"/>
    </row>
    <row r="821" spans="1:11" s="44" customFormat="1" ht="13.5" customHeight="1">
      <c r="A821" s="446" t="s">
        <v>698</v>
      </c>
      <c r="B821" s="465" t="s">
        <v>406</v>
      </c>
      <c r="C821" s="441">
        <v>88248</v>
      </c>
      <c r="D821" s="447" t="s">
        <v>739</v>
      </c>
      <c r="E821" s="432" t="s">
        <v>740</v>
      </c>
      <c r="F821" s="111">
        <v>0.3</v>
      </c>
      <c r="G821" s="466">
        <v>26.14</v>
      </c>
      <c r="H821" s="56"/>
      <c r="I821" s="56">
        <f>F821*G821</f>
        <v>7.8419999999999996</v>
      </c>
      <c r="J821" s="57"/>
      <c r="K821" s="40"/>
    </row>
    <row r="822" spans="1:11" s="44" customFormat="1" ht="13.5" customHeight="1">
      <c r="A822" s="449"/>
      <c r="B822" s="469"/>
      <c r="C822" s="450"/>
      <c r="D822" s="451" t="s">
        <v>696</v>
      </c>
      <c r="E822" s="470"/>
      <c r="F822" s="61"/>
      <c r="G822" s="58"/>
      <c r="H822" s="59">
        <f>SUM(H820:H821)</f>
        <v>249.99</v>
      </c>
      <c r="I822" s="59">
        <f>SUM(I820:I821)</f>
        <v>7.8419999999999996</v>
      </c>
      <c r="J822" s="455">
        <f>SUM(H822:I822)</f>
        <v>257.83199999999999</v>
      </c>
    </row>
    <row r="823" spans="1:11" s="44" customFormat="1" ht="13.5" customHeight="1">
      <c r="A823" s="469" t="s">
        <v>1052</v>
      </c>
      <c r="B823" s="1027" t="s">
        <v>1479</v>
      </c>
      <c r="C823" s="1028"/>
      <c r="D823" s="1028"/>
      <c r="E823" s="457"/>
      <c r="F823" s="457"/>
      <c r="G823" s="457"/>
      <c r="H823" s="457"/>
      <c r="I823" s="457"/>
      <c r="J823" s="458"/>
    </row>
    <row r="824" spans="1:11" s="44" customFormat="1" ht="13.5" customHeight="1">
      <c r="A824" s="524"/>
      <c r="B824" s="459"/>
      <c r="C824" s="459"/>
      <c r="D824" s="459"/>
      <c r="E824" s="460"/>
      <c r="F824" s="460"/>
      <c r="G824" s="460"/>
      <c r="H824" s="460"/>
      <c r="I824" s="460"/>
      <c r="J824" s="461"/>
    </row>
    <row r="825" spans="1:11" s="44" customFormat="1" ht="13.5" customHeight="1">
      <c r="A825" s="463" t="s">
        <v>697</v>
      </c>
      <c r="B825" s="463"/>
      <c r="C825" s="438" t="s">
        <v>1263</v>
      </c>
      <c r="D825" s="482" t="s">
        <v>1496</v>
      </c>
      <c r="E825" s="440" t="s">
        <v>411</v>
      </c>
      <c r="F825" s="440" t="s">
        <v>692</v>
      </c>
      <c r="G825" s="376" t="s">
        <v>693</v>
      </c>
      <c r="H825" s="440" t="s">
        <v>694</v>
      </c>
      <c r="I825" s="440" t="s">
        <v>695</v>
      </c>
      <c r="J825" s="440" t="s">
        <v>696</v>
      </c>
    </row>
    <row r="826" spans="1:11" s="44" customFormat="1" ht="13.5" customHeight="1">
      <c r="A826" s="446" t="s">
        <v>819</v>
      </c>
      <c r="B826" s="465" t="s">
        <v>409</v>
      </c>
      <c r="C826" s="441">
        <v>65245</v>
      </c>
      <c r="D826" s="467" t="s">
        <v>1480</v>
      </c>
      <c r="E826" s="411" t="s">
        <v>737</v>
      </c>
      <c r="F826" s="51">
        <v>1</v>
      </c>
      <c r="G826" s="466">
        <v>850</v>
      </c>
      <c r="H826" s="52">
        <f t="shared" ref="H826" si="60">F826*G826</f>
        <v>850</v>
      </c>
      <c r="I826" s="53"/>
      <c r="J826" s="54"/>
      <c r="K826" s="40"/>
    </row>
    <row r="827" spans="1:11" s="44" customFormat="1" ht="13.5" customHeight="1">
      <c r="A827" s="446" t="s">
        <v>698</v>
      </c>
      <c r="B827" s="465" t="s">
        <v>406</v>
      </c>
      <c r="C827" s="441">
        <v>88248</v>
      </c>
      <c r="D827" s="447" t="s">
        <v>739</v>
      </c>
      <c r="E827" s="432" t="s">
        <v>740</v>
      </c>
      <c r="F827" s="111">
        <v>0.3</v>
      </c>
      <c r="G827" s="466">
        <v>26.14</v>
      </c>
      <c r="H827" s="56"/>
      <c r="I827" s="56">
        <f>F827*G827</f>
        <v>7.8419999999999996</v>
      </c>
      <c r="J827" s="57"/>
      <c r="K827" s="40"/>
    </row>
    <row r="828" spans="1:11" s="44" customFormat="1" ht="13.5" customHeight="1">
      <c r="A828" s="449"/>
      <c r="B828" s="469"/>
      <c r="C828" s="450"/>
      <c r="D828" s="451" t="s">
        <v>696</v>
      </c>
      <c r="E828" s="470"/>
      <c r="F828" s="61"/>
      <c r="G828" s="58"/>
      <c r="H828" s="59">
        <f>SUM(H826:H827)</f>
        <v>850</v>
      </c>
      <c r="I828" s="59">
        <f>SUM(I826:I827)</f>
        <v>7.8419999999999996</v>
      </c>
      <c r="J828" s="455">
        <f>SUM(H828:I828)</f>
        <v>857.84199999999998</v>
      </c>
    </row>
    <row r="829" spans="1:11" s="44" customFormat="1" ht="13.5" customHeight="1">
      <c r="A829" s="469" t="s">
        <v>1052</v>
      </c>
      <c r="B829" s="1027" t="s">
        <v>1479</v>
      </c>
      <c r="C829" s="1028"/>
      <c r="D829" s="1028"/>
      <c r="E829" s="457"/>
      <c r="F829" s="457"/>
      <c r="G829" s="457"/>
      <c r="H829" s="457"/>
      <c r="I829" s="457"/>
      <c r="J829" s="458"/>
    </row>
    <row r="830" spans="1:11" s="44" customFormat="1" ht="13.5" customHeight="1">
      <c r="A830" s="469"/>
      <c r="B830" s="462"/>
      <c r="C830" s="370"/>
      <c r="D830" s="370"/>
      <c r="E830" s="457"/>
      <c r="F830" s="457"/>
      <c r="G830" s="457"/>
      <c r="H830" s="457"/>
      <c r="I830" s="457"/>
      <c r="J830" s="458"/>
    </row>
    <row r="831" spans="1:11" s="44" customFormat="1" ht="13.5" customHeight="1">
      <c r="A831" s="463" t="s">
        <v>697</v>
      </c>
      <c r="B831" s="463"/>
      <c r="C831" s="438" t="s">
        <v>1449</v>
      </c>
      <c r="D831" s="374" t="s">
        <v>395</v>
      </c>
      <c r="E831" s="440" t="s">
        <v>421</v>
      </c>
      <c r="F831" s="440" t="s">
        <v>692</v>
      </c>
      <c r="G831" s="376" t="s">
        <v>693</v>
      </c>
      <c r="H831" s="440" t="s">
        <v>694</v>
      </c>
      <c r="I831" s="440" t="s">
        <v>695</v>
      </c>
      <c r="J831" s="440" t="s">
        <v>696</v>
      </c>
    </row>
    <row r="832" spans="1:11" s="44" customFormat="1" ht="13.5" customHeight="1">
      <c r="A832" s="446" t="s">
        <v>698</v>
      </c>
      <c r="B832" s="465" t="s">
        <v>406</v>
      </c>
      <c r="C832" s="441">
        <v>88316</v>
      </c>
      <c r="D832" s="447" t="s">
        <v>825</v>
      </c>
      <c r="E832" s="411" t="s">
        <v>740</v>
      </c>
      <c r="F832" s="51">
        <v>1.8560000000000001</v>
      </c>
      <c r="G832" s="466">
        <v>25.49</v>
      </c>
      <c r="H832" s="52"/>
      <c r="I832" s="56">
        <f>F832*G832</f>
        <v>47.309440000000002</v>
      </c>
      <c r="J832" s="54"/>
      <c r="K832" s="40"/>
    </row>
    <row r="833" spans="1:11" s="44" customFormat="1" ht="13.5" customHeight="1">
      <c r="A833" s="446" t="s">
        <v>698</v>
      </c>
      <c r="B833" s="465" t="s">
        <v>406</v>
      </c>
      <c r="C833" s="441">
        <v>88309</v>
      </c>
      <c r="D833" s="447" t="s">
        <v>1518</v>
      </c>
      <c r="E833" s="432" t="s">
        <v>740</v>
      </c>
      <c r="F833" s="111">
        <v>1.1339999999999999</v>
      </c>
      <c r="G833" s="466">
        <v>32.65</v>
      </c>
      <c r="H833" s="56"/>
      <c r="I833" s="56">
        <f>F833*G833</f>
        <v>37.025099999999995</v>
      </c>
      <c r="J833" s="57"/>
      <c r="K833" s="40"/>
    </row>
    <row r="834" spans="1:11" s="44" customFormat="1" ht="13.5" customHeight="1">
      <c r="A834" s="449"/>
      <c r="B834" s="469"/>
      <c r="C834" s="450"/>
      <c r="D834" s="451" t="s">
        <v>696</v>
      </c>
      <c r="E834" s="470"/>
      <c r="F834" s="61"/>
      <c r="G834" s="58"/>
      <c r="H834" s="59">
        <f>SUM(H832:H833)</f>
        <v>0</v>
      </c>
      <c r="I834" s="59">
        <f>SUM(I832:I833)</f>
        <v>84.334540000000004</v>
      </c>
      <c r="J834" s="455">
        <f>SUM(H834:I834)</f>
        <v>84.334540000000004</v>
      </c>
    </row>
    <row r="835" spans="1:11" s="44" customFormat="1" ht="13.5" customHeight="1">
      <c r="A835" s="469" t="s">
        <v>1052</v>
      </c>
      <c r="B835" s="1027" t="s">
        <v>1519</v>
      </c>
      <c r="C835" s="1028"/>
      <c r="D835" s="1028"/>
      <c r="E835" s="457"/>
      <c r="F835" s="457"/>
      <c r="G835" s="457"/>
      <c r="H835" s="457"/>
      <c r="I835" s="457"/>
      <c r="J835" s="458"/>
    </row>
    <row r="836" spans="1:11" s="44" customFormat="1" ht="13.5" customHeight="1">
      <c r="A836" s="469"/>
      <c r="B836" s="462"/>
      <c r="C836" s="370"/>
      <c r="D836" s="370"/>
      <c r="E836" s="457"/>
      <c r="F836" s="457"/>
      <c r="G836" s="457"/>
      <c r="H836" s="457"/>
      <c r="I836" s="457"/>
      <c r="J836" s="458"/>
    </row>
    <row r="837" spans="1:11" s="44" customFormat="1" ht="13.5" customHeight="1">
      <c r="A837" s="463" t="s">
        <v>697</v>
      </c>
      <c r="B837" s="463"/>
      <c r="C837" s="438" t="s">
        <v>1453</v>
      </c>
      <c r="D837" s="374" t="s">
        <v>397</v>
      </c>
      <c r="E837" s="440" t="s">
        <v>421</v>
      </c>
      <c r="F837" s="440" t="s">
        <v>692</v>
      </c>
      <c r="G837" s="376" t="s">
        <v>693</v>
      </c>
      <c r="H837" s="440" t="s">
        <v>694</v>
      </c>
      <c r="I837" s="440" t="s">
        <v>695</v>
      </c>
      <c r="J837" s="440" t="s">
        <v>696</v>
      </c>
    </row>
    <row r="838" spans="1:11" s="44" customFormat="1" ht="13.5" customHeight="1">
      <c r="A838" s="446" t="s">
        <v>698</v>
      </c>
      <c r="B838" s="465" t="s">
        <v>406</v>
      </c>
      <c r="C838" s="441">
        <v>88316</v>
      </c>
      <c r="D838" s="447" t="s">
        <v>825</v>
      </c>
      <c r="E838" s="411" t="s">
        <v>740</v>
      </c>
      <c r="F838" s="51">
        <v>0.9</v>
      </c>
      <c r="G838" s="466">
        <v>25.49</v>
      </c>
      <c r="H838" s="52"/>
      <c r="I838" s="56">
        <f>F838*G838</f>
        <v>22.940999999999999</v>
      </c>
      <c r="J838" s="54"/>
      <c r="K838" s="40"/>
    </row>
    <row r="839" spans="1:11" s="44" customFormat="1" ht="13.5" customHeight="1">
      <c r="A839" s="446" t="s">
        <v>698</v>
      </c>
      <c r="B839" s="465" t="s">
        <v>406</v>
      </c>
      <c r="C839" s="441">
        <v>88309</v>
      </c>
      <c r="D839" s="447" t="s">
        <v>1518</v>
      </c>
      <c r="E839" s="432" t="s">
        <v>740</v>
      </c>
      <c r="F839" s="111">
        <v>0.12</v>
      </c>
      <c r="G839" s="466">
        <v>32.65</v>
      </c>
      <c r="H839" s="56"/>
      <c r="I839" s="56">
        <f>F839*G839</f>
        <v>3.9179999999999997</v>
      </c>
      <c r="J839" s="57"/>
      <c r="K839" s="40"/>
    </row>
    <row r="840" spans="1:11" s="44" customFormat="1" ht="13.5" customHeight="1">
      <c r="A840" s="449"/>
      <c r="B840" s="469"/>
      <c r="C840" s="450"/>
      <c r="D840" s="451" t="s">
        <v>696</v>
      </c>
      <c r="E840" s="470"/>
      <c r="F840" s="61"/>
      <c r="G840" s="58"/>
      <c r="H840" s="59">
        <f>SUM(H838:H839)</f>
        <v>0</v>
      </c>
      <c r="I840" s="59">
        <f>SUM(I838:I839)</f>
        <v>26.858999999999998</v>
      </c>
      <c r="J840" s="455">
        <f>SUM(H840:I840)</f>
        <v>26.858999999999998</v>
      </c>
    </row>
    <row r="841" spans="1:11" s="44" customFormat="1" ht="13.5" customHeight="1">
      <c r="A841" s="469" t="s">
        <v>1052</v>
      </c>
      <c r="B841" s="1027" t="s">
        <v>1521</v>
      </c>
      <c r="C841" s="1028"/>
      <c r="D841" s="1028"/>
      <c r="E841" s="457"/>
      <c r="F841" s="457"/>
      <c r="G841" s="457"/>
      <c r="H841" s="457"/>
      <c r="I841" s="457"/>
      <c r="J841" s="458"/>
    </row>
    <row r="842" spans="1:11" s="44" customFormat="1" ht="13.5" customHeight="1">
      <c r="A842" s="469"/>
      <c r="B842" s="462"/>
      <c r="C842" s="370"/>
      <c r="D842" s="370"/>
      <c r="E842" s="457"/>
      <c r="F842" s="457"/>
      <c r="G842" s="457"/>
      <c r="H842" s="457"/>
      <c r="I842" s="457"/>
      <c r="J842" s="458"/>
    </row>
    <row r="843" spans="1:11" s="44" customFormat="1" ht="13.5" customHeight="1">
      <c r="A843" s="463" t="s">
        <v>697</v>
      </c>
      <c r="B843" s="463"/>
      <c r="C843" s="438" t="s">
        <v>1478</v>
      </c>
      <c r="D843" s="482" t="s">
        <v>1522</v>
      </c>
      <c r="E843" s="440" t="s">
        <v>411</v>
      </c>
      <c r="F843" s="440" t="s">
        <v>692</v>
      </c>
      <c r="G843" s="376" t="s">
        <v>693</v>
      </c>
      <c r="H843" s="440" t="s">
        <v>694</v>
      </c>
      <c r="I843" s="440" t="s">
        <v>695</v>
      </c>
      <c r="J843" s="440" t="s">
        <v>696</v>
      </c>
    </row>
    <row r="844" spans="1:11" s="44" customFormat="1" ht="13.5" customHeight="1">
      <c r="A844" s="446" t="s">
        <v>819</v>
      </c>
      <c r="B844" s="465" t="s">
        <v>409</v>
      </c>
      <c r="C844" s="441">
        <v>10239</v>
      </c>
      <c r="D844" s="467" t="s">
        <v>1524</v>
      </c>
      <c r="E844" s="411" t="s">
        <v>737</v>
      </c>
      <c r="F844" s="51">
        <v>1</v>
      </c>
      <c r="G844" s="466">
        <v>189</v>
      </c>
      <c r="H844" s="52">
        <f t="shared" ref="H844:H845" si="61">F844*G844</f>
        <v>189</v>
      </c>
      <c r="I844" s="53"/>
      <c r="J844" s="54"/>
      <c r="K844" s="40"/>
    </row>
    <row r="845" spans="1:11" s="44" customFormat="1" ht="13.5" customHeight="1">
      <c r="A845" s="446" t="s">
        <v>819</v>
      </c>
      <c r="B845" s="465" t="s">
        <v>409</v>
      </c>
      <c r="C845" s="441">
        <v>1024</v>
      </c>
      <c r="D845" s="532" t="s">
        <v>1525</v>
      </c>
      <c r="E845" s="411" t="s">
        <v>737</v>
      </c>
      <c r="F845" s="51">
        <v>1</v>
      </c>
      <c r="G845" s="466">
        <v>138.99</v>
      </c>
      <c r="H845" s="52">
        <f t="shared" si="61"/>
        <v>138.99</v>
      </c>
      <c r="I845" s="53"/>
      <c r="J845" s="54"/>
      <c r="K845" s="40"/>
    </row>
    <row r="846" spans="1:11" s="44" customFormat="1" ht="13.5" customHeight="1">
      <c r="A846" s="446" t="s">
        <v>698</v>
      </c>
      <c r="B846" s="465" t="s">
        <v>406</v>
      </c>
      <c r="C846" s="441">
        <v>88316</v>
      </c>
      <c r="D846" s="447" t="s">
        <v>825</v>
      </c>
      <c r="E846" s="411" t="s">
        <v>740</v>
      </c>
      <c r="F846" s="51">
        <v>0.4</v>
      </c>
      <c r="G846" s="466">
        <v>25.49</v>
      </c>
      <c r="H846" s="52"/>
      <c r="I846" s="56">
        <f>F846*G846</f>
        <v>10.196</v>
      </c>
      <c r="J846" s="54"/>
      <c r="K846" s="40"/>
    </row>
    <row r="847" spans="1:11" s="44" customFormat="1" ht="13.5" customHeight="1">
      <c r="A847" s="446" t="s">
        <v>698</v>
      </c>
      <c r="B847" s="465" t="s">
        <v>406</v>
      </c>
      <c r="C847" s="441">
        <v>88309</v>
      </c>
      <c r="D847" s="447" t="s">
        <v>1518</v>
      </c>
      <c r="E847" s="432" t="s">
        <v>740</v>
      </c>
      <c r="F847" s="111">
        <v>0.4</v>
      </c>
      <c r="G847" s="466">
        <v>32.65</v>
      </c>
      <c r="H847" s="56"/>
      <c r="I847" s="56">
        <f>F847*G847</f>
        <v>13.06</v>
      </c>
      <c r="J847" s="57"/>
      <c r="K847" s="40"/>
    </row>
    <row r="848" spans="1:11" s="44" customFormat="1" ht="13.5" customHeight="1">
      <c r="A848" s="449"/>
      <c r="B848" s="469"/>
      <c r="C848" s="450"/>
      <c r="D848" s="451" t="s">
        <v>696</v>
      </c>
      <c r="E848" s="470"/>
      <c r="F848" s="61"/>
      <c r="G848" s="58"/>
      <c r="H848" s="59">
        <f>SUM(H844:H847)</f>
        <v>327.99</v>
      </c>
      <c r="I848" s="59">
        <f>SUM(I844:I847)</f>
        <v>23.256</v>
      </c>
      <c r="J848" s="455">
        <f>SUM(H848:I848)</f>
        <v>351.24599999999998</v>
      </c>
    </row>
    <row r="849" spans="1:11" s="44" customFormat="1" ht="13.5" customHeight="1">
      <c r="A849" s="469" t="s">
        <v>1052</v>
      </c>
      <c r="B849" s="1027" t="s">
        <v>1526</v>
      </c>
      <c r="C849" s="1028"/>
      <c r="D849" s="1028"/>
      <c r="E849" s="457"/>
      <c r="F849" s="457"/>
      <c r="G849" s="457"/>
      <c r="H849" s="457"/>
      <c r="I849" s="457"/>
      <c r="J849" s="458"/>
    </row>
    <row r="850" spans="1:11" s="44" customFormat="1" ht="13.5" customHeight="1">
      <c r="A850" s="469"/>
      <c r="B850" s="462"/>
      <c r="C850" s="370"/>
      <c r="D850" s="370"/>
      <c r="E850" s="457"/>
      <c r="F850" s="457"/>
      <c r="G850" s="457"/>
      <c r="H850" s="457"/>
      <c r="I850" s="457"/>
      <c r="J850" s="458"/>
    </row>
    <row r="851" spans="1:11" s="44" customFormat="1" ht="13.5" customHeight="1">
      <c r="A851" s="371" t="s">
        <v>736</v>
      </c>
      <c r="B851" s="372"/>
      <c r="C851" s="373" t="s">
        <v>1527</v>
      </c>
      <c r="D851" s="482" t="s">
        <v>1528</v>
      </c>
      <c r="E851" s="376" t="s">
        <v>411</v>
      </c>
      <c r="F851" s="440" t="s">
        <v>692</v>
      </c>
      <c r="G851" s="376" t="s">
        <v>693</v>
      </c>
      <c r="H851" s="440" t="s">
        <v>694</v>
      </c>
      <c r="I851" s="440" t="s">
        <v>695</v>
      </c>
      <c r="J851" s="440" t="s">
        <v>696</v>
      </c>
    </row>
    <row r="852" spans="1:11" s="44" customFormat="1" ht="13.5" customHeight="1">
      <c r="A852" s="377" t="s">
        <v>819</v>
      </c>
      <c r="B852" s="378" t="s">
        <v>409</v>
      </c>
      <c r="C852" s="398">
        <v>3828</v>
      </c>
      <c r="D852" s="401" t="s">
        <v>1528</v>
      </c>
      <c r="E852" s="411" t="s">
        <v>737</v>
      </c>
      <c r="F852" s="602">
        <v>1</v>
      </c>
      <c r="G852" s="395">
        <v>901.42</v>
      </c>
      <c r="H852" s="603">
        <f>F852*G852</f>
        <v>901.42</v>
      </c>
      <c r="I852" s="604"/>
      <c r="J852" s="588"/>
      <c r="K852" s="40"/>
    </row>
    <row r="853" spans="1:11" s="44" customFormat="1" ht="13.5" customHeight="1">
      <c r="A853" s="446" t="s">
        <v>698</v>
      </c>
      <c r="B853" s="378" t="s">
        <v>409</v>
      </c>
      <c r="C853" s="582">
        <v>4351</v>
      </c>
      <c r="D853" s="469" t="s">
        <v>1529</v>
      </c>
      <c r="E853" s="411" t="s">
        <v>737</v>
      </c>
      <c r="F853" s="51">
        <v>6</v>
      </c>
      <c r="G853" s="56">
        <v>23.11</v>
      </c>
      <c r="H853" s="603">
        <f>F853*G853</f>
        <v>138.66</v>
      </c>
      <c r="I853" s="53"/>
      <c r="J853" s="54"/>
      <c r="K853" s="40"/>
    </row>
    <row r="854" spans="1:11" s="44" customFormat="1" ht="13.5" customHeight="1">
      <c r="A854" s="446" t="s">
        <v>698</v>
      </c>
      <c r="B854" s="378" t="s">
        <v>409</v>
      </c>
      <c r="C854" s="582">
        <v>37329</v>
      </c>
      <c r="D854" s="469" t="s">
        <v>1530</v>
      </c>
      <c r="E854" s="55" t="s">
        <v>18</v>
      </c>
      <c r="F854" s="51">
        <v>7.0000000000000007E-2</v>
      </c>
      <c r="G854" s="56">
        <v>85.33</v>
      </c>
      <c r="H854" s="603">
        <f>F854*G854</f>
        <v>5.9731000000000005</v>
      </c>
      <c r="I854" s="53"/>
      <c r="J854" s="54"/>
      <c r="K854" s="40"/>
    </row>
    <row r="855" spans="1:11" s="44" customFormat="1" ht="13.5" customHeight="1">
      <c r="A855" s="377" t="s">
        <v>698</v>
      </c>
      <c r="B855" s="378" t="s">
        <v>406</v>
      </c>
      <c r="C855" s="392">
        <v>88248</v>
      </c>
      <c r="D855" s="576" t="s">
        <v>739</v>
      </c>
      <c r="E855" s="589" t="s">
        <v>740</v>
      </c>
      <c r="F855" s="411">
        <v>0.7</v>
      </c>
      <c r="G855" s="621">
        <v>26.14</v>
      </c>
      <c r="H855" s="603"/>
      <c r="I855" s="395">
        <f>F855*G855</f>
        <v>18.297999999999998</v>
      </c>
      <c r="J855" s="588"/>
      <c r="K855" s="40"/>
    </row>
    <row r="856" spans="1:11" s="44" customFormat="1" ht="13.5" customHeight="1">
      <c r="A856" s="377" t="s">
        <v>698</v>
      </c>
      <c r="B856" s="378" t="s">
        <v>406</v>
      </c>
      <c r="C856" s="392">
        <v>88267</v>
      </c>
      <c r="D856" s="576" t="s">
        <v>741</v>
      </c>
      <c r="E856" s="589" t="s">
        <v>740</v>
      </c>
      <c r="F856" s="411">
        <v>1.77</v>
      </c>
      <c r="G856" s="621">
        <v>32.130000000000003</v>
      </c>
      <c r="H856" s="411"/>
      <c r="I856" s="395">
        <f>F856*G856</f>
        <v>56.870100000000008</v>
      </c>
      <c r="J856" s="397"/>
      <c r="K856" s="40"/>
    </row>
    <row r="857" spans="1:11" s="44" customFormat="1" ht="13.5" customHeight="1">
      <c r="A857" s="449"/>
      <c r="B857" s="384"/>
      <c r="C857" s="450"/>
      <c r="D857" s="451" t="s">
        <v>696</v>
      </c>
      <c r="E857" s="470"/>
      <c r="F857" s="61"/>
      <c r="G857" s="58"/>
      <c r="H857" s="59">
        <f>SUM(H852:H856)</f>
        <v>1046.0530999999999</v>
      </c>
      <c r="I857" s="59">
        <f>SUM(I852:I856)</f>
        <v>75.16810000000001</v>
      </c>
      <c r="J857" s="386">
        <f>SUM(H857:I857)</f>
        <v>1121.2212</v>
      </c>
      <c r="K857" s="40"/>
    </row>
    <row r="858" spans="1:11" s="44" customFormat="1" ht="13.5" customHeight="1">
      <c r="A858" s="384" t="s">
        <v>1052</v>
      </c>
      <c r="B858" s="1029" t="s">
        <v>1531</v>
      </c>
      <c r="C858" s="1030"/>
      <c r="D858" s="1030"/>
      <c r="E858" s="409"/>
      <c r="F858" s="409"/>
      <c r="G858" s="409"/>
      <c r="H858" s="409"/>
      <c r="I858" s="409"/>
      <c r="J858" s="410"/>
      <c r="K858" s="40"/>
    </row>
    <row r="859" spans="1:11" s="44" customFormat="1" ht="13.5" customHeight="1">
      <c r="A859" s="469"/>
      <c r="B859" s="462"/>
      <c r="C859" s="370"/>
      <c r="D859" s="370"/>
      <c r="E859" s="457"/>
      <c r="F859" s="457"/>
      <c r="G859" s="457"/>
      <c r="H859" s="457"/>
      <c r="I859" s="457"/>
      <c r="J859" s="458"/>
      <c r="K859" s="40"/>
    </row>
    <row r="860" spans="1:11" s="44" customFormat="1" ht="13.5" customHeight="1">
      <c r="A860" s="469"/>
      <c r="B860" s="462"/>
      <c r="C860" s="370"/>
      <c r="D860" s="370"/>
      <c r="E860" s="457"/>
      <c r="F860" s="457"/>
      <c r="G860" s="457"/>
      <c r="H860" s="457"/>
      <c r="I860" s="457"/>
      <c r="J860" s="458"/>
      <c r="K860" s="40"/>
    </row>
    <row r="861" spans="1:11" s="44" customFormat="1" ht="13.5" customHeight="1">
      <c r="A861" s="463" t="s">
        <v>697</v>
      </c>
      <c r="B861" s="463"/>
      <c r="C861" s="438" t="s">
        <v>1534</v>
      </c>
      <c r="D861" s="374" t="s">
        <v>91</v>
      </c>
      <c r="E861" s="440" t="s">
        <v>421</v>
      </c>
      <c r="F861" s="440" t="s">
        <v>692</v>
      </c>
      <c r="G861" s="376" t="s">
        <v>693</v>
      </c>
      <c r="H861" s="440" t="s">
        <v>694</v>
      </c>
      <c r="I861" s="440" t="s">
        <v>695</v>
      </c>
      <c r="J861" s="440" t="s">
        <v>696</v>
      </c>
      <c r="K861" s="40"/>
    </row>
    <row r="862" spans="1:11" s="44" customFormat="1" ht="13.5" customHeight="1">
      <c r="A862" s="446" t="s">
        <v>2108</v>
      </c>
      <c r="B862" s="465" t="s">
        <v>406</v>
      </c>
      <c r="C862" s="441">
        <v>88250</v>
      </c>
      <c r="D862" s="447" t="s">
        <v>1535</v>
      </c>
      <c r="E862" s="411" t="s">
        <v>740</v>
      </c>
      <c r="F862" s="111">
        <v>0.309</v>
      </c>
      <c r="G862" s="466">
        <v>26.4</v>
      </c>
      <c r="H862" s="56"/>
      <c r="I862" s="56">
        <f>F862*G862</f>
        <v>8.1575999999999986</v>
      </c>
      <c r="J862" s="57"/>
      <c r="K862" s="40"/>
    </row>
    <row r="863" spans="1:11" s="44" customFormat="1" ht="13.5" customHeight="1">
      <c r="A863" s="449"/>
      <c r="B863" s="469"/>
      <c r="C863" s="450"/>
      <c r="D863" s="451" t="s">
        <v>696</v>
      </c>
      <c r="E863" s="470"/>
      <c r="F863" s="61"/>
      <c r="G863" s="58"/>
      <c r="H863" s="59">
        <f>SUM(H862:H862)</f>
        <v>0</v>
      </c>
      <c r="I863" s="59">
        <f>SUM(I862:I862)</f>
        <v>8.1575999999999986</v>
      </c>
      <c r="J863" s="455">
        <f>SUM(H863:I863)</f>
        <v>8.1575999999999986</v>
      </c>
      <c r="K863" s="40"/>
    </row>
    <row r="864" spans="1:11" s="44" customFormat="1" ht="13.5" customHeight="1">
      <c r="A864" s="384" t="s">
        <v>1052</v>
      </c>
      <c r="B864" s="1029" t="s">
        <v>1536</v>
      </c>
      <c r="C864" s="1030"/>
      <c r="D864" s="1030"/>
      <c r="E864" s="409"/>
      <c r="F864" s="409"/>
      <c r="G864" s="409"/>
      <c r="H864" s="409"/>
      <c r="I864" s="409"/>
      <c r="J864" s="410"/>
      <c r="K864" s="40"/>
    </row>
    <row r="865" spans="1:11" s="44" customFormat="1" ht="13.5" customHeight="1">
      <c r="A865" s="469"/>
      <c r="B865" s="462"/>
      <c r="C865" s="370"/>
      <c r="D865" s="370"/>
      <c r="E865" s="457"/>
      <c r="F865" s="457"/>
      <c r="G865" s="457"/>
      <c r="H865" s="457"/>
      <c r="I865" s="457"/>
      <c r="J865" s="458"/>
      <c r="K865" s="40"/>
    </row>
    <row r="866" spans="1:11" s="44" customFormat="1" ht="13.5" customHeight="1">
      <c r="A866" s="463" t="s">
        <v>697</v>
      </c>
      <c r="B866" s="463"/>
      <c r="C866" s="438" t="s">
        <v>1540</v>
      </c>
      <c r="D866" s="374" t="s">
        <v>1541</v>
      </c>
      <c r="E866" s="440" t="s">
        <v>421</v>
      </c>
      <c r="F866" s="440" t="s">
        <v>692</v>
      </c>
      <c r="G866" s="376" t="s">
        <v>693</v>
      </c>
      <c r="H866" s="440" t="s">
        <v>694</v>
      </c>
      <c r="I866" s="440" t="s">
        <v>695</v>
      </c>
      <c r="J866" s="440" t="s">
        <v>696</v>
      </c>
      <c r="K866" s="40"/>
    </row>
    <row r="867" spans="1:11" s="44" customFormat="1" ht="13.5" customHeight="1">
      <c r="A867" s="377" t="s">
        <v>698</v>
      </c>
      <c r="B867" s="509" t="s">
        <v>409</v>
      </c>
      <c r="C867" s="472">
        <v>4813</v>
      </c>
      <c r="D867" s="481" t="s">
        <v>1542</v>
      </c>
      <c r="E867" s="55" t="s">
        <v>818</v>
      </c>
      <c r="F867" s="62">
        <v>1</v>
      </c>
      <c r="G867" s="64">
        <v>425</v>
      </c>
      <c r="H867" s="62">
        <f>F867*G867</f>
        <v>425</v>
      </c>
      <c r="I867" s="440"/>
      <c r="J867" s="533"/>
      <c r="K867" s="40"/>
    </row>
    <row r="868" spans="1:11" s="44" customFormat="1" ht="13.5" customHeight="1">
      <c r="A868" s="446" t="s">
        <v>698</v>
      </c>
      <c r="B868" s="465" t="s">
        <v>406</v>
      </c>
      <c r="C868" s="441">
        <v>88316</v>
      </c>
      <c r="D868" s="447" t="s">
        <v>825</v>
      </c>
      <c r="E868" s="411" t="s">
        <v>740</v>
      </c>
      <c r="F868" s="51">
        <v>1.2370000000000001</v>
      </c>
      <c r="G868" s="149">
        <v>25.49</v>
      </c>
      <c r="H868" s="52"/>
      <c r="I868" s="56">
        <f>F868*G868</f>
        <v>31.531130000000001</v>
      </c>
      <c r="J868" s="54"/>
      <c r="K868" s="40"/>
    </row>
    <row r="869" spans="1:11" s="44" customFormat="1" ht="13.5" customHeight="1">
      <c r="A869" s="446" t="s">
        <v>698</v>
      </c>
      <c r="B869" s="465" t="s">
        <v>406</v>
      </c>
      <c r="C869" s="441">
        <v>88261</v>
      </c>
      <c r="D869" s="447" t="s">
        <v>1533</v>
      </c>
      <c r="E869" s="432" t="s">
        <v>740</v>
      </c>
      <c r="F869" s="111">
        <v>0.61899999999999999</v>
      </c>
      <c r="G869" s="149">
        <v>34.28</v>
      </c>
      <c r="H869" s="56"/>
      <c r="I869" s="56">
        <f>F869*G869</f>
        <v>21.21932</v>
      </c>
      <c r="J869" s="57"/>
      <c r="K869" s="40"/>
    </row>
    <row r="870" spans="1:11" s="44" customFormat="1" ht="13.5" customHeight="1">
      <c r="A870" s="449"/>
      <c r="B870" s="469"/>
      <c r="C870" s="450"/>
      <c r="D870" s="451" t="s">
        <v>696</v>
      </c>
      <c r="E870" s="470"/>
      <c r="F870" s="61"/>
      <c r="G870" s="58"/>
      <c r="H870" s="59">
        <f>SUM(H867:H869)</f>
        <v>425</v>
      </c>
      <c r="I870" s="59">
        <f>SUM(I868:I869)</f>
        <v>52.750450000000001</v>
      </c>
      <c r="J870" s="455">
        <f>SUM(H870:I870)</f>
        <v>477.75045</v>
      </c>
      <c r="K870" s="40"/>
    </row>
    <row r="871" spans="1:11" s="44" customFormat="1" ht="13.5" customHeight="1">
      <c r="A871" s="384" t="s">
        <v>1052</v>
      </c>
      <c r="B871" s="1029" t="s">
        <v>1543</v>
      </c>
      <c r="C871" s="1030"/>
      <c r="D871" s="1030"/>
      <c r="E871" s="409"/>
      <c r="F871" s="409"/>
      <c r="G871" s="409"/>
      <c r="H871" s="409"/>
      <c r="I871" s="409"/>
      <c r="J871" s="410"/>
      <c r="K871" s="40"/>
    </row>
    <row r="872" spans="1:11" s="44" customFormat="1" ht="13.5" customHeight="1">
      <c r="A872" s="469"/>
      <c r="B872" s="462"/>
      <c r="C872" s="370"/>
      <c r="D872" s="370"/>
      <c r="E872" s="457"/>
      <c r="F872" s="457"/>
      <c r="G872" s="457"/>
      <c r="H872" s="457"/>
      <c r="I872" s="457"/>
      <c r="J872" s="458"/>
      <c r="K872" s="40"/>
    </row>
    <row r="873" spans="1:11" s="44" customFormat="1" ht="13.5" customHeight="1">
      <c r="A873" s="371" t="s">
        <v>736</v>
      </c>
      <c r="B873" s="372"/>
      <c r="C873" s="373" t="s">
        <v>1563</v>
      </c>
      <c r="D873" s="622" t="s">
        <v>1559</v>
      </c>
      <c r="E873" s="376" t="s">
        <v>411</v>
      </c>
      <c r="F873" s="440" t="s">
        <v>692</v>
      </c>
      <c r="G873" s="376" t="s">
        <v>693</v>
      </c>
      <c r="H873" s="440" t="s">
        <v>694</v>
      </c>
      <c r="I873" s="440" t="s">
        <v>695</v>
      </c>
      <c r="J873" s="440" t="s">
        <v>696</v>
      </c>
      <c r="K873" s="40"/>
    </row>
    <row r="874" spans="1:11" s="44" customFormat="1" ht="13.5" customHeight="1">
      <c r="A874" s="599" t="s">
        <v>699</v>
      </c>
      <c r="B874" s="465" t="s">
        <v>409</v>
      </c>
      <c r="C874" s="387" t="s">
        <v>1582</v>
      </c>
      <c r="D874" s="471" t="s">
        <v>1559</v>
      </c>
      <c r="E874" s="411" t="s">
        <v>737</v>
      </c>
      <c r="F874" s="586">
        <v>1</v>
      </c>
      <c r="G874" s="600">
        <v>194.93</v>
      </c>
      <c r="H874" s="395">
        <f>F874*G874</f>
        <v>194.93</v>
      </c>
      <c r="I874" s="395"/>
      <c r="J874" s="588">
        <f>F874*G874</f>
        <v>194.93</v>
      </c>
      <c r="K874" s="40"/>
    </row>
    <row r="875" spans="1:11" s="44" customFormat="1" ht="13.5" customHeight="1">
      <c r="A875" s="377" t="s">
        <v>698</v>
      </c>
      <c r="B875" s="378" t="s">
        <v>406</v>
      </c>
      <c r="C875" s="392">
        <v>88264</v>
      </c>
      <c r="D875" s="576" t="s">
        <v>747</v>
      </c>
      <c r="E875" s="589" t="s">
        <v>740</v>
      </c>
      <c r="F875" s="586">
        <v>1.2</v>
      </c>
      <c r="G875" s="407">
        <v>32.99</v>
      </c>
      <c r="H875" s="395"/>
      <c r="I875" s="395">
        <f>F875*G875-0.01</f>
        <v>39.578000000000003</v>
      </c>
      <c r="J875" s="397">
        <f>F875*G875</f>
        <v>39.588000000000001</v>
      </c>
      <c r="K875" s="40"/>
    </row>
    <row r="876" spans="1:11" s="44" customFormat="1" ht="13.5" customHeight="1">
      <c r="A876" s="590"/>
      <c r="B876" s="435"/>
      <c r="C876" s="576"/>
      <c r="D876" s="405" t="s">
        <v>696</v>
      </c>
      <c r="E876" s="376"/>
      <c r="F876" s="593"/>
      <c r="G876" s="594"/>
      <c r="H876" s="59">
        <f>SUM(H874:H875)</f>
        <v>194.93</v>
      </c>
      <c r="I876" s="59">
        <f>SUM(I874:I875)</f>
        <v>39.578000000000003</v>
      </c>
      <c r="J876" s="386">
        <f>H876+I876</f>
        <v>234.50800000000001</v>
      </c>
      <c r="K876" s="40"/>
    </row>
    <row r="877" spans="1:11" s="44" customFormat="1" ht="13.5" customHeight="1">
      <c r="A877" s="384" t="s">
        <v>1052</v>
      </c>
      <c r="B877" s="1029" t="s">
        <v>1565</v>
      </c>
      <c r="C877" s="1030"/>
      <c r="D877" s="1030"/>
      <c r="E877" s="409"/>
      <c r="F877" s="409"/>
      <c r="G877" s="409"/>
      <c r="H877" s="409"/>
      <c r="I877" s="409"/>
      <c r="J877" s="410"/>
      <c r="K877" s="40"/>
    </row>
    <row r="878" spans="1:11" s="44" customFormat="1" ht="13.5" customHeight="1">
      <c r="A878" s="469"/>
      <c r="B878" s="462"/>
      <c r="C878" s="370"/>
      <c r="D878" s="370"/>
      <c r="E878" s="457"/>
      <c r="F878" s="457"/>
      <c r="G878" s="457"/>
      <c r="H878" s="457"/>
      <c r="I878" s="457"/>
      <c r="J878" s="458"/>
      <c r="K878" s="40"/>
    </row>
    <row r="879" spans="1:11" s="44" customFormat="1" ht="13.5" customHeight="1">
      <c r="A879" s="371" t="s">
        <v>736</v>
      </c>
      <c r="B879" s="372"/>
      <c r="C879" s="373" t="s">
        <v>1564</v>
      </c>
      <c r="D879" s="622" t="s">
        <v>1560</v>
      </c>
      <c r="E879" s="376" t="s">
        <v>411</v>
      </c>
      <c r="F879" s="440" t="s">
        <v>692</v>
      </c>
      <c r="G879" s="376" t="s">
        <v>693</v>
      </c>
      <c r="H879" s="440" t="s">
        <v>694</v>
      </c>
      <c r="I879" s="440" t="s">
        <v>695</v>
      </c>
      <c r="J879" s="440" t="s">
        <v>696</v>
      </c>
      <c r="K879" s="40"/>
    </row>
    <row r="880" spans="1:11" s="44" customFormat="1" ht="13.5" customHeight="1">
      <c r="A880" s="599" t="s">
        <v>699</v>
      </c>
      <c r="B880" s="465" t="s">
        <v>409</v>
      </c>
      <c r="C880" s="387" t="s">
        <v>1583</v>
      </c>
      <c r="D880" s="534" t="s">
        <v>1560</v>
      </c>
      <c r="E880" s="411" t="s">
        <v>737</v>
      </c>
      <c r="F880" s="586">
        <v>1</v>
      </c>
      <c r="G880" s="600">
        <v>235.11</v>
      </c>
      <c r="H880" s="395">
        <f>F880*G880</f>
        <v>235.11</v>
      </c>
      <c r="I880" s="395"/>
      <c r="J880" s="588">
        <f>F880*G880</f>
        <v>235.11</v>
      </c>
      <c r="K880" s="40"/>
    </row>
    <row r="881" spans="1:11" s="44" customFormat="1" ht="13.5" customHeight="1">
      <c r="A881" s="377" t="s">
        <v>698</v>
      </c>
      <c r="B881" s="378" t="s">
        <v>406</v>
      </c>
      <c r="C881" s="392">
        <v>88264</v>
      </c>
      <c r="D881" s="576" t="s">
        <v>747</v>
      </c>
      <c r="E881" s="589" t="s">
        <v>740</v>
      </c>
      <c r="F881" s="586">
        <v>1.2</v>
      </c>
      <c r="G881" s="407">
        <v>32.99</v>
      </c>
      <c r="H881" s="395"/>
      <c r="I881" s="395">
        <f>F881*G881-0.01</f>
        <v>39.578000000000003</v>
      </c>
      <c r="J881" s="397">
        <f>F881*G881</f>
        <v>39.588000000000001</v>
      </c>
      <c r="K881" s="40"/>
    </row>
    <row r="882" spans="1:11" s="44" customFormat="1" ht="13.5" customHeight="1">
      <c r="A882" s="590"/>
      <c r="B882" s="435"/>
      <c r="C882" s="576"/>
      <c r="D882" s="405" t="s">
        <v>696</v>
      </c>
      <c r="E882" s="376"/>
      <c r="F882" s="593"/>
      <c r="G882" s="594"/>
      <c r="H882" s="59">
        <f>SUM(H880:H881)</f>
        <v>235.11</v>
      </c>
      <c r="I882" s="59">
        <f>SUM(I880:I881)</f>
        <v>39.578000000000003</v>
      </c>
      <c r="J882" s="386">
        <f>H882+I882</f>
        <v>274.68799999999999</v>
      </c>
      <c r="K882" s="40"/>
    </row>
    <row r="883" spans="1:11" s="44" customFormat="1" ht="13.5" customHeight="1">
      <c r="A883" s="384" t="s">
        <v>1052</v>
      </c>
      <c r="B883" s="1029" t="s">
        <v>1565</v>
      </c>
      <c r="C883" s="1030"/>
      <c r="D883" s="1030"/>
      <c r="E883" s="409"/>
      <c r="F883" s="409"/>
      <c r="G883" s="409"/>
      <c r="H883" s="409"/>
      <c r="I883" s="409"/>
      <c r="J883" s="410"/>
      <c r="K883" s="40"/>
    </row>
    <row r="884" spans="1:11" s="44" customFormat="1" ht="13.5" customHeight="1">
      <c r="A884" s="469"/>
      <c r="B884" s="462"/>
      <c r="C884" s="370"/>
      <c r="D884" s="370"/>
      <c r="E884" s="457"/>
      <c r="F884" s="457"/>
      <c r="G884" s="457"/>
      <c r="H884" s="457"/>
      <c r="I884" s="457"/>
      <c r="J884" s="458"/>
      <c r="K884" s="40"/>
    </row>
    <row r="885" spans="1:11" s="44" customFormat="1" ht="27" customHeight="1">
      <c r="A885" s="463" t="s">
        <v>697</v>
      </c>
      <c r="B885" s="440"/>
      <c r="C885" s="438" t="s">
        <v>1570</v>
      </c>
      <c r="D885" s="439" t="s">
        <v>1568</v>
      </c>
      <c r="E885" s="440" t="s">
        <v>411</v>
      </c>
      <c r="F885" s="417" t="s">
        <v>692</v>
      </c>
      <c r="G885" s="417" t="s">
        <v>693</v>
      </c>
      <c r="H885" s="417" t="s">
        <v>694</v>
      </c>
      <c r="I885" s="417" t="s">
        <v>695</v>
      </c>
      <c r="J885" s="424" t="s">
        <v>696</v>
      </c>
      <c r="K885" s="40"/>
    </row>
    <row r="886" spans="1:11" s="44" customFormat="1" ht="25.5">
      <c r="A886" s="446" t="s">
        <v>699</v>
      </c>
      <c r="B886" s="432" t="s">
        <v>409</v>
      </c>
      <c r="C886" s="478" t="s">
        <v>1587</v>
      </c>
      <c r="D886" s="480" t="s">
        <v>1568</v>
      </c>
      <c r="E886" s="411" t="s">
        <v>737</v>
      </c>
      <c r="F886" s="62">
        <v>1</v>
      </c>
      <c r="G886" s="112">
        <v>529</v>
      </c>
      <c r="H886" s="52">
        <f>F886*G886</f>
        <v>529</v>
      </c>
      <c r="I886" s="53"/>
      <c r="J886" s="54">
        <f>F886*G886</f>
        <v>529</v>
      </c>
      <c r="K886" s="40"/>
    </row>
    <row r="887" spans="1:11" s="44" customFormat="1" ht="13.5" customHeight="1">
      <c r="A887" s="446" t="s">
        <v>698</v>
      </c>
      <c r="B887" s="432" t="s">
        <v>406</v>
      </c>
      <c r="C887" s="441">
        <v>88266</v>
      </c>
      <c r="D887" s="447" t="s">
        <v>1296</v>
      </c>
      <c r="E887" s="432" t="s">
        <v>740</v>
      </c>
      <c r="F887" s="64">
        <v>1.65</v>
      </c>
      <c r="G887" s="483">
        <v>36.65</v>
      </c>
      <c r="H887" s="55"/>
      <c r="I887" s="56">
        <f>F887*G887</f>
        <v>60.472499999999997</v>
      </c>
      <c r="J887" s="57">
        <f>F887*G887</f>
        <v>60.472499999999997</v>
      </c>
      <c r="K887" s="40"/>
    </row>
    <row r="888" spans="1:11" s="44" customFormat="1" ht="13.5" customHeight="1">
      <c r="A888" s="446" t="s">
        <v>698</v>
      </c>
      <c r="B888" s="432" t="s">
        <v>406</v>
      </c>
      <c r="C888" s="441">
        <v>88247</v>
      </c>
      <c r="D888" s="447" t="s">
        <v>746</v>
      </c>
      <c r="E888" s="432" t="s">
        <v>740</v>
      </c>
      <c r="F888" s="64">
        <v>1.5</v>
      </c>
      <c r="G888" s="483">
        <v>26.96</v>
      </c>
      <c r="H888" s="55"/>
      <c r="I888" s="56">
        <f>F888*G888</f>
        <v>40.44</v>
      </c>
      <c r="J888" s="57">
        <f>F888*G888</f>
        <v>40.44</v>
      </c>
      <c r="K888" s="40"/>
    </row>
    <row r="889" spans="1:11" s="44" customFormat="1" ht="13.5" customHeight="1">
      <c r="A889" s="449"/>
      <c r="B889" s="469"/>
      <c r="C889" s="450"/>
      <c r="D889" s="451" t="s">
        <v>696</v>
      </c>
      <c r="E889" s="470"/>
      <c r="F889" s="61"/>
      <c r="G889" s="58"/>
      <c r="H889" s="59">
        <f>SUM(H886:H888)</f>
        <v>529</v>
      </c>
      <c r="I889" s="59">
        <f>SUM(I886:I888)</f>
        <v>100.91249999999999</v>
      </c>
      <c r="J889" s="60">
        <f>SUM(J886:J888)</f>
        <v>629.91249999999991</v>
      </c>
      <c r="K889" s="40"/>
    </row>
    <row r="890" spans="1:11" s="44" customFormat="1" ht="13.5" customHeight="1">
      <c r="A890" s="469" t="s">
        <v>1052</v>
      </c>
      <c r="B890" s="1027" t="s">
        <v>1295</v>
      </c>
      <c r="C890" s="1028"/>
      <c r="D890" s="1028"/>
      <c r="E890" s="457"/>
      <c r="F890" s="457"/>
      <c r="G890" s="457"/>
      <c r="H890" s="457"/>
      <c r="I890" s="457"/>
      <c r="J890" s="458"/>
      <c r="K890" s="40"/>
    </row>
    <row r="891" spans="1:11" s="44" customFormat="1" ht="13.5" customHeight="1">
      <c r="A891" s="469"/>
      <c r="B891" s="462"/>
      <c r="C891" s="370"/>
      <c r="D891" s="370"/>
      <c r="E891" s="457"/>
      <c r="F891" s="457"/>
      <c r="G891" s="457"/>
      <c r="H891" s="457"/>
      <c r="I891" s="457"/>
      <c r="J891" s="458"/>
      <c r="K891" s="40"/>
    </row>
    <row r="892" spans="1:11" s="44" customFormat="1" ht="25.5" customHeight="1">
      <c r="A892" s="463" t="s">
        <v>697</v>
      </c>
      <c r="B892" s="440"/>
      <c r="C892" s="438" t="s">
        <v>1571</v>
      </c>
      <c r="D892" s="439" t="s">
        <v>2165</v>
      </c>
      <c r="E892" s="440" t="s">
        <v>411</v>
      </c>
      <c r="F892" s="417" t="s">
        <v>692</v>
      </c>
      <c r="G892" s="417" t="s">
        <v>693</v>
      </c>
      <c r="H892" s="417" t="s">
        <v>694</v>
      </c>
      <c r="I892" s="417" t="s">
        <v>695</v>
      </c>
      <c r="J892" s="424" t="s">
        <v>696</v>
      </c>
      <c r="K892" s="40"/>
    </row>
    <row r="893" spans="1:11" s="44" customFormat="1" ht="25.5">
      <c r="A893" s="446" t="s">
        <v>699</v>
      </c>
      <c r="B893" s="432" t="s">
        <v>409</v>
      </c>
      <c r="C893" s="478" t="s">
        <v>1586</v>
      </c>
      <c r="D893" s="480" t="s">
        <v>2165</v>
      </c>
      <c r="E893" s="55" t="s">
        <v>737</v>
      </c>
      <c r="F893" s="64">
        <v>1</v>
      </c>
      <c r="G893" s="112">
        <v>590.65</v>
      </c>
      <c r="H893" s="56">
        <f>F893*G893</f>
        <v>590.65</v>
      </c>
      <c r="I893" s="495"/>
      <c r="J893" s="57">
        <f>F893*G893</f>
        <v>590.65</v>
      </c>
      <c r="K893" s="40"/>
    </row>
    <row r="894" spans="1:11" s="44" customFormat="1" ht="13.5" customHeight="1">
      <c r="A894" s="449"/>
      <c r="B894" s="469"/>
      <c r="C894" s="450"/>
      <c r="D894" s="451" t="s">
        <v>696</v>
      </c>
      <c r="E894" s="470"/>
      <c r="F894" s="61"/>
      <c r="G894" s="58"/>
      <c r="H894" s="59">
        <f>SUM(H893:H893)</f>
        <v>590.65</v>
      </c>
      <c r="I894" s="59">
        <f>SUM(I893:I893)</f>
        <v>0</v>
      </c>
      <c r="J894" s="455">
        <f>SUM(J893:J893)</f>
        <v>590.65</v>
      </c>
      <c r="K894" s="40"/>
    </row>
    <row r="895" spans="1:11" s="44" customFormat="1" ht="13.5" customHeight="1">
      <c r="A895" s="449"/>
      <c r="B895" s="535"/>
      <c r="C895" s="449"/>
      <c r="D895" s="451"/>
      <c r="E895" s="61"/>
      <c r="F895" s="61"/>
      <c r="G895" s="61"/>
      <c r="H895" s="536"/>
      <c r="I895" s="536"/>
      <c r="J895" s="623"/>
      <c r="K895" s="40"/>
    </row>
    <row r="896" spans="1:11" s="44" customFormat="1" ht="13.5" customHeight="1">
      <c r="A896" s="469"/>
      <c r="B896" s="462"/>
      <c r="C896" s="370"/>
      <c r="D896" s="370"/>
      <c r="E896" s="457"/>
      <c r="F896" s="457"/>
      <c r="G896" s="457"/>
      <c r="H896" s="457"/>
      <c r="I896" s="457"/>
      <c r="J896" s="458"/>
      <c r="K896" s="40"/>
    </row>
    <row r="897" spans="1:11" s="44" customFormat="1" ht="13.5" customHeight="1">
      <c r="A897" s="371" t="s">
        <v>697</v>
      </c>
      <c r="B897" s="372"/>
      <c r="C897" s="373" t="s">
        <v>1575</v>
      </c>
      <c r="D897" s="464" t="s">
        <v>774</v>
      </c>
      <c r="E897" s="376" t="s">
        <v>421</v>
      </c>
      <c r="F897" s="376" t="s">
        <v>692</v>
      </c>
      <c r="G897" s="376" t="s">
        <v>693</v>
      </c>
      <c r="H897" s="440" t="s">
        <v>694</v>
      </c>
      <c r="I897" s="440" t="s">
        <v>695</v>
      </c>
      <c r="J897" s="440" t="s">
        <v>696</v>
      </c>
      <c r="K897" s="40"/>
    </row>
    <row r="898" spans="1:11" s="44" customFormat="1" ht="13.5" customHeight="1">
      <c r="A898" s="377" t="s">
        <v>819</v>
      </c>
      <c r="B898" s="378" t="s">
        <v>409</v>
      </c>
      <c r="C898" s="47">
        <v>1500</v>
      </c>
      <c r="D898" s="47" t="s">
        <v>1447</v>
      </c>
      <c r="E898" s="411" t="s">
        <v>737</v>
      </c>
      <c r="F898" s="395">
        <v>0.09</v>
      </c>
      <c r="G898" s="411">
        <v>9.09</v>
      </c>
      <c r="H898" s="531">
        <f>F898*G898</f>
        <v>0.81809999999999994</v>
      </c>
      <c r="I898" s="531"/>
      <c r="J898" s="411">
        <f>F898*G898</f>
        <v>0.81809999999999994</v>
      </c>
      <c r="K898" s="40"/>
    </row>
    <row r="899" spans="1:11" s="44" customFormat="1" ht="13.5" customHeight="1">
      <c r="A899" s="377" t="s">
        <v>698</v>
      </c>
      <c r="B899" s="378" t="s">
        <v>406</v>
      </c>
      <c r="C899" s="392">
        <v>88316</v>
      </c>
      <c r="D899" s="392" t="s">
        <v>1317</v>
      </c>
      <c r="E899" s="411" t="s">
        <v>412</v>
      </c>
      <c r="F899" s="538">
        <v>0.2</v>
      </c>
      <c r="G899" s="411">
        <v>25.49</v>
      </c>
      <c r="H899" s="411"/>
      <c r="I899" s="531">
        <f>F899*G899</f>
        <v>5.0979999999999999</v>
      </c>
      <c r="J899" s="411">
        <f>F899*G899</f>
        <v>5.0979999999999999</v>
      </c>
      <c r="K899" s="40"/>
    </row>
    <row r="900" spans="1:11" s="44" customFormat="1" ht="13.5" customHeight="1">
      <c r="A900" s="377"/>
      <c r="B900" s="449"/>
      <c r="C900" s="450"/>
      <c r="D900" s="451" t="s">
        <v>696</v>
      </c>
      <c r="E900" s="470"/>
      <c r="F900" s="61"/>
      <c r="G900" s="58"/>
      <c r="H900" s="539">
        <f>SUM(H898:H899)</f>
        <v>0.81809999999999994</v>
      </c>
      <c r="I900" s="539">
        <f>SUM(I898:I899)</f>
        <v>5.0979999999999999</v>
      </c>
      <c r="J900" s="455">
        <f>SUM(J898:J899)</f>
        <v>5.9161000000000001</v>
      </c>
      <c r="K900" s="40"/>
    </row>
    <row r="901" spans="1:11" s="44" customFormat="1" ht="13.5" customHeight="1">
      <c r="A901" s="469" t="s">
        <v>1052</v>
      </c>
      <c r="B901" s="1027" t="s">
        <v>1448</v>
      </c>
      <c r="C901" s="1028"/>
      <c r="D901" s="1028"/>
      <c r="E901" s="470"/>
      <c r="F901" s="61"/>
      <c r="G901" s="58"/>
      <c r="H901" s="539"/>
      <c r="I901" s="539"/>
      <c r="J901" s="455"/>
      <c r="K901" s="40"/>
    </row>
    <row r="902" spans="1:11" s="44" customFormat="1" ht="13.5" customHeight="1">
      <c r="A902" s="469"/>
      <c r="B902" s="459"/>
      <c r="C902" s="459"/>
      <c r="D902" s="459"/>
      <c r="E902" s="457"/>
      <c r="F902" s="457"/>
      <c r="G902" s="457"/>
      <c r="H902" s="457"/>
      <c r="I902" s="457"/>
      <c r="J902" s="458"/>
      <c r="K902" s="40"/>
    </row>
    <row r="903" spans="1:11" s="44" customFormat="1" ht="13.5" customHeight="1">
      <c r="A903" s="371" t="s">
        <v>697</v>
      </c>
      <c r="B903" s="55"/>
      <c r="C903" s="438" t="s">
        <v>1576</v>
      </c>
      <c r="D903" s="464" t="s">
        <v>1450</v>
      </c>
      <c r="E903" s="376" t="s">
        <v>421</v>
      </c>
      <c r="F903" s="376" t="s">
        <v>692</v>
      </c>
      <c r="G903" s="376" t="s">
        <v>693</v>
      </c>
      <c r="H903" s="440" t="s">
        <v>694</v>
      </c>
      <c r="I903" s="440" t="s">
        <v>695</v>
      </c>
      <c r="J903" s="440" t="s">
        <v>696</v>
      </c>
      <c r="K903" s="40"/>
    </row>
    <row r="904" spans="1:11" s="44" customFormat="1" ht="13.5" customHeight="1">
      <c r="A904" s="377" t="s">
        <v>819</v>
      </c>
      <c r="B904" s="432" t="s">
        <v>409</v>
      </c>
      <c r="C904" s="478">
        <v>4365</v>
      </c>
      <c r="D904" s="477" t="s">
        <v>1451</v>
      </c>
      <c r="E904" s="411" t="s">
        <v>818</v>
      </c>
      <c r="F904" s="64">
        <v>1</v>
      </c>
      <c r="G904" s="112">
        <v>9.1999999999999993</v>
      </c>
      <c r="H904" s="56">
        <f>F904*G904</f>
        <v>9.1999999999999993</v>
      </c>
      <c r="I904" s="534"/>
      <c r="J904" s="57">
        <f>F904*G904</f>
        <v>9.1999999999999993</v>
      </c>
      <c r="K904" s="40"/>
    </row>
    <row r="905" spans="1:11" s="44" customFormat="1" ht="13.5" customHeight="1">
      <c r="A905" s="377"/>
      <c r="B905" s="469"/>
      <c r="C905" s="450"/>
      <c r="D905" s="449" t="s">
        <v>696</v>
      </c>
      <c r="E905" s="470"/>
      <c r="F905" s="61"/>
      <c r="G905" s="58"/>
      <c r="H905" s="65">
        <f>SUM(H904:H904)</f>
        <v>9.1999999999999993</v>
      </c>
      <c r="I905" s="65">
        <f>SUM(I904:I904)</f>
        <v>0</v>
      </c>
      <c r="J905" s="455">
        <f>SUM(J904:J904)</f>
        <v>9.1999999999999993</v>
      </c>
      <c r="K905" s="40"/>
    </row>
    <row r="906" spans="1:11" s="44" customFormat="1" ht="13.5" customHeight="1">
      <c r="A906" s="469" t="s">
        <v>1052</v>
      </c>
      <c r="B906" s="1027" t="s">
        <v>1452</v>
      </c>
      <c r="C906" s="1028"/>
      <c r="D906" s="1028"/>
      <c r="E906" s="624"/>
      <c r="F906" s="624"/>
      <c r="G906" s="624"/>
      <c r="H906" s="624"/>
      <c r="I906" s="624"/>
      <c r="J906" s="624"/>
      <c r="K906" s="40"/>
    </row>
    <row r="907" spans="1:11" s="44" customFormat="1" ht="13.5" customHeight="1">
      <c r="A907" s="469"/>
      <c r="B907" s="459"/>
      <c r="C907" s="459"/>
      <c r="D907" s="459"/>
      <c r="E907" s="457"/>
      <c r="F907" s="457"/>
      <c r="G907" s="457"/>
      <c r="H907" s="457"/>
      <c r="I907" s="457"/>
      <c r="J907" s="458"/>
      <c r="K907" s="40"/>
    </row>
    <row r="908" spans="1:11" s="44" customFormat="1" ht="38.25">
      <c r="A908" s="371" t="s">
        <v>697</v>
      </c>
      <c r="B908" s="440"/>
      <c r="C908" s="438" t="s">
        <v>1577</v>
      </c>
      <c r="D908" s="464" t="s">
        <v>88</v>
      </c>
      <c r="E908" s="440" t="s">
        <v>411</v>
      </c>
      <c r="F908" s="376" t="s">
        <v>692</v>
      </c>
      <c r="G908" s="376" t="s">
        <v>693</v>
      </c>
      <c r="H908" s="440" t="s">
        <v>694</v>
      </c>
      <c r="I908" s="440" t="s">
        <v>695</v>
      </c>
      <c r="J908" s="440" t="s">
        <v>696</v>
      </c>
      <c r="K908" s="40"/>
    </row>
    <row r="909" spans="1:11" s="44" customFormat="1" ht="12.75">
      <c r="A909" s="377" t="s">
        <v>819</v>
      </c>
      <c r="B909" s="432" t="s">
        <v>409</v>
      </c>
      <c r="C909" s="478">
        <v>8824</v>
      </c>
      <c r="D909" s="477" t="s">
        <v>1290</v>
      </c>
      <c r="E909" s="411" t="s">
        <v>737</v>
      </c>
      <c r="F909" s="62">
        <v>9</v>
      </c>
      <c r="G909" s="112">
        <v>16.8</v>
      </c>
      <c r="H909" s="52">
        <f>F909*G909</f>
        <v>151.20000000000002</v>
      </c>
      <c r="I909" s="496"/>
      <c r="J909" s="54">
        <f>F909*G909</f>
        <v>151.20000000000002</v>
      </c>
      <c r="K909" s="40"/>
    </row>
    <row r="910" spans="1:11" s="44" customFormat="1" ht="13.5" customHeight="1">
      <c r="A910" s="377" t="s">
        <v>698</v>
      </c>
      <c r="B910" s="432" t="s">
        <v>406</v>
      </c>
      <c r="C910" s="441">
        <v>90773</v>
      </c>
      <c r="D910" s="447" t="s">
        <v>1292</v>
      </c>
      <c r="E910" s="432" t="s">
        <v>740</v>
      </c>
      <c r="F910" s="113">
        <v>67.77</v>
      </c>
      <c r="G910" s="483">
        <v>14.27</v>
      </c>
      <c r="H910" s="55"/>
      <c r="I910" s="56">
        <f>F910*G910</f>
        <v>967.07789999999989</v>
      </c>
      <c r="J910" s="57">
        <f>F910*G910</f>
        <v>967.07789999999989</v>
      </c>
      <c r="K910" s="40"/>
    </row>
    <row r="911" spans="1:11" s="44" customFormat="1" ht="13.5" customHeight="1">
      <c r="A911" s="377" t="s">
        <v>698</v>
      </c>
      <c r="B911" s="432" t="s">
        <v>406</v>
      </c>
      <c r="C911" s="441">
        <v>90679</v>
      </c>
      <c r="D911" s="447" t="s">
        <v>1291</v>
      </c>
      <c r="E911" s="432" t="s">
        <v>740</v>
      </c>
      <c r="F911" s="113">
        <v>12.76</v>
      </c>
      <c r="G911" s="483">
        <v>105.01</v>
      </c>
      <c r="H911" s="55"/>
      <c r="I911" s="56">
        <f>F911*G911</f>
        <v>1339.9276</v>
      </c>
      <c r="J911" s="57">
        <f>F911*G911</f>
        <v>1339.9276</v>
      </c>
      <c r="K911" s="40"/>
    </row>
    <row r="912" spans="1:11" s="44" customFormat="1" ht="13.5" customHeight="1">
      <c r="A912" s="377"/>
      <c r="B912" s="469"/>
      <c r="C912" s="450"/>
      <c r="D912" s="451" t="s">
        <v>696</v>
      </c>
      <c r="E912" s="470"/>
      <c r="F912" s="61"/>
      <c r="G912" s="58"/>
      <c r="H912" s="59">
        <f>SUM(H909:H911)</f>
        <v>151.20000000000002</v>
      </c>
      <c r="I912" s="59">
        <f>SUM(I909:I911)</f>
        <v>2307.0054999999998</v>
      </c>
      <c r="J912" s="60">
        <f>SUM(J909:J911)</f>
        <v>2458.2055</v>
      </c>
      <c r="K912" s="40"/>
    </row>
    <row r="913" spans="1:11" s="44" customFormat="1" ht="13.5" customHeight="1">
      <c r="A913" s="469" t="s">
        <v>1052</v>
      </c>
      <c r="B913" s="1027" t="s">
        <v>1293</v>
      </c>
      <c r="C913" s="1028"/>
      <c r="D913" s="1028"/>
      <c r="E913" s="470"/>
      <c r="F913" s="61"/>
      <c r="G913" s="58"/>
      <c r="H913" s="59"/>
      <c r="I913" s="59"/>
      <c r="J913" s="60"/>
      <c r="K913" s="40"/>
    </row>
    <row r="914" spans="1:11" s="44" customFormat="1" ht="13.5" customHeight="1">
      <c r="A914" s="541"/>
      <c r="B914" s="542"/>
      <c r="C914" s="542"/>
      <c r="D914" s="542"/>
      <c r="E914" s="543"/>
      <c r="F914" s="543"/>
      <c r="G914" s="543"/>
      <c r="H914" s="543"/>
      <c r="I914" s="543"/>
      <c r="J914" s="544"/>
      <c r="K914" s="40"/>
    </row>
    <row r="915" spans="1:11" s="44" customFormat="1" ht="30" customHeight="1">
      <c r="A915" s="371" t="s">
        <v>697</v>
      </c>
      <c r="B915" s="371"/>
      <c r="C915" s="373" t="s">
        <v>2515</v>
      </c>
      <c r="D915" s="374" t="s">
        <v>1592</v>
      </c>
      <c r="E915" s="376" t="s">
        <v>421</v>
      </c>
      <c r="F915" s="376" t="s">
        <v>692</v>
      </c>
      <c r="G915" s="376" t="s">
        <v>693</v>
      </c>
      <c r="H915" s="376" t="s">
        <v>694</v>
      </c>
      <c r="I915" s="376" t="s">
        <v>695</v>
      </c>
      <c r="J915" s="376" t="s">
        <v>696</v>
      </c>
      <c r="K915" s="40"/>
    </row>
    <row r="916" spans="1:11" s="44" customFormat="1" ht="13.5" customHeight="1">
      <c r="A916" s="377" t="s">
        <v>698</v>
      </c>
      <c r="B916" s="392" t="s">
        <v>409</v>
      </c>
      <c r="C916" s="392">
        <v>37586</v>
      </c>
      <c r="D916" s="392" t="s">
        <v>1306</v>
      </c>
      <c r="E916" s="393" t="s">
        <v>1319</v>
      </c>
      <c r="F916" s="392">
        <v>4.8599999999999997E-2</v>
      </c>
      <c r="G916" s="394">
        <v>58.38</v>
      </c>
      <c r="H916" s="395">
        <f>F916*G916</f>
        <v>2.8372679999999999</v>
      </c>
      <c r="I916" s="396"/>
      <c r="J916" s="397">
        <f>H916</f>
        <v>2.8372679999999999</v>
      </c>
      <c r="K916" s="40"/>
    </row>
    <row r="917" spans="1:11" s="44" customFormat="1" ht="24.75" customHeight="1">
      <c r="A917" s="377" t="s">
        <v>698</v>
      </c>
      <c r="B917" s="392" t="s">
        <v>409</v>
      </c>
      <c r="C917" s="392">
        <v>39413</v>
      </c>
      <c r="D917" s="398" t="s">
        <v>1589</v>
      </c>
      <c r="E917" s="55" t="s">
        <v>818</v>
      </c>
      <c r="F917" s="392" t="s">
        <v>606</v>
      </c>
      <c r="G917" s="394">
        <v>20</v>
      </c>
      <c r="H917" s="395">
        <f t="shared" ref="H917:H925" si="62">F917*G917</f>
        <v>42.12</v>
      </c>
      <c r="I917" s="386"/>
      <c r="J917" s="397">
        <f t="shared" ref="J917:J925" si="63">H917</f>
        <v>42.12</v>
      </c>
      <c r="K917" s="40"/>
    </row>
    <row r="918" spans="1:11" s="44" customFormat="1" ht="25.5">
      <c r="A918" s="377" t="s">
        <v>698</v>
      </c>
      <c r="B918" s="392" t="s">
        <v>409</v>
      </c>
      <c r="C918" s="392" t="s">
        <v>607</v>
      </c>
      <c r="D918" s="398" t="s">
        <v>1309</v>
      </c>
      <c r="E918" s="393" t="s">
        <v>13</v>
      </c>
      <c r="F918" s="392">
        <v>1.5208999999999999</v>
      </c>
      <c r="G918" s="394">
        <v>8.51</v>
      </c>
      <c r="H918" s="395">
        <f t="shared" si="62"/>
        <v>12.942858999999999</v>
      </c>
      <c r="I918" s="386"/>
      <c r="J918" s="397">
        <f t="shared" si="63"/>
        <v>12.942858999999999</v>
      </c>
      <c r="K918" s="40"/>
    </row>
    <row r="919" spans="1:11" s="44" customFormat="1" ht="25.5">
      <c r="A919" s="377" t="s">
        <v>698</v>
      </c>
      <c r="B919" s="392" t="s">
        <v>409</v>
      </c>
      <c r="C919" s="392" t="s">
        <v>608</v>
      </c>
      <c r="D919" s="398" t="s">
        <v>1310</v>
      </c>
      <c r="E919" s="393" t="s">
        <v>13</v>
      </c>
      <c r="F919" s="392">
        <v>3.9819</v>
      </c>
      <c r="G919" s="394">
        <v>9.66</v>
      </c>
      <c r="H919" s="395">
        <f t="shared" si="62"/>
        <v>38.465153999999998</v>
      </c>
      <c r="I919" s="386"/>
      <c r="J919" s="397">
        <f t="shared" si="63"/>
        <v>38.465153999999998</v>
      </c>
      <c r="K919" s="40"/>
    </row>
    <row r="920" spans="1:11" s="44" customFormat="1" ht="25.5">
      <c r="A920" s="377" t="s">
        <v>698</v>
      </c>
      <c r="B920" s="392" t="s">
        <v>409</v>
      </c>
      <c r="C920" s="392">
        <v>39431</v>
      </c>
      <c r="D920" s="398" t="s">
        <v>1307</v>
      </c>
      <c r="E920" s="393" t="s">
        <v>13</v>
      </c>
      <c r="F920" s="392" t="s">
        <v>610</v>
      </c>
      <c r="G920" s="394">
        <v>0.31</v>
      </c>
      <c r="H920" s="395">
        <f t="shared" si="62"/>
        <v>0.775837</v>
      </c>
      <c r="I920" s="386"/>
      <c r="J920" s="397">
        <f t="shared" si="63"/>
        <v>0.775837</v>
      </c>
      <c r="K920" s="40"/>
    </row>
    <row r="921" spans="1:11" s="44" customFormat="1" ht="25.5">
      <c r="A921" s="377" t="s">
        <v>698</v>
      </c>
      <c r="B921" s="392" t="s">
        <v>409</v>
      </c>
      <c r="C921" s="392">
        <v>39432</v>
      </c>
      <c r="D921" s="398" t="s">
        <v>1311</v>
      </c>
      <c r="E921" s="393" t="s">
        <v>13</v>
      </c>
      <c r="F921" s="392">
        <v>1.4815</v>
      </c>
      <c r="G921" s="394">
        <v>2.77</v>
      </c>
      <c r="H921" s="395">
        <f t="shared" si="62"/>
        <v>4.1037550000000005</v>
      </c>
      <c r="I921" s="386"/>
      <c r="J921" s="397">
        <f t="shared" si="63"/>
        <v>4.1037550000000005</v>
      </c>
      <c r="K921" s="40"/>
    </row>
    <row r="922" spans="1:11" s="44" customFormat="1" ht="25.5">
      <c r="A922" s="377" t="s">
        <v>698</v>
      </c>
      <c r="B922" s="392" t="s">
        <v>409</v>
      </c>
      <c r="C922" s="392" t="s">
        <v>611</v>
      </c>
      <c r="D922" s="398" t="s">
        <v>1312</v>
      </c>
      <c r="E922" s="393" t="s">
        <v>18</v>
      </c>
      <c r="F922" s="392" t="s">
        <v>612</v>
      </c>
      <c r="G922" s="394">
        <v>3.46</v>
      </c>
      <c r="H922" s="395">
        <f t="shared" si="62"/>
        <v>3.5731419999999998</v>
      </c>
      <c r="I922" s="386"/>
      <c r="J922" s="397">
        <f t="shared" si="63"/>
        <v>3.5731419999999998</v>
      </c>
      <c r="K922" s="40"/>
    </row>
    <row r="923" spans="1:11" s="44" customFormat="1" ht="25.5">
      <c r="A923" s="377" t="s">
        <v>698</v>
      </c>
      <c r="B923" s="392" t="s">
        <v>409</v>
      </c>
      <c r="C923" s="392">
        <v>39435</v>
      </c>
      <c r="D923" s="398" t="s">
        <v>1313</v>
      </c>
      <c r="E923" s="393" t="s">
        <v>737</v>
      </c>
      <c r="F923" s="392" t="s">
        <v>614</v>
      </c>
      <c r="G923" s="394">
        <v>0.14000000000000001</v>
      </c>
      <c r="H923" s="395">
        <f t="shared" si="62"/>
        <v>2.8010780000000004</v>
      </c>
      <c r="I923" s="386"/>
      <c r="J923" s="397">
        <f t="shared" si="63"/>
        <v>2.8010780000000004</v>
      </c>
      <c r="K923" s="40"/>
    </row>
    <row r="924" spans="1:11" s="44" customFormat="1" ht="25.5">
      <c r="A924" s="377" t="s">
        <v>698</v>
      </c>
      <c r="B924" s="392" t="s">
        <v>409</v>
      </c>
      <c r="C924" s="392" t="s">
        <v>615</v>
      </c>
      <c r="D924" s="398" t="s">
        <v>1314</v>
      </c>
      <c r="E924" s="393" t="s">
        <v>737</v>
      </c>
      <c r="F924" s="392">
        <v>0.80759999999999998</v>
      </c>
      <c r="G924" s="394">
        <v>0.33</v>
      </c>
      <c r="H924" s="395">
        <f t="shared" si="62"/>
        <v>0.26650800000000002</v>
      </c>
      <c r="I924" s="386"/>
      <c r="J924" s="397">
        <f t="shared" si="63"/>
        <v>0.26650800000000002</v>
      </c>
      <c r="K924" s="40"/>
    </row>
    <row r="925" spans="1:11" s="44" customFormat="1" ht="12.75">
      <c r="A925" s="400" t="s">
        <v>819</v>
      </c>
      <c r="B925" s="392" t="s">
        <v>409</v>
      </c>
      <c r="C925" s="392">
        <v>51156</v>
      </c>
      <c r="D925" s="401" t="s">
        <v>1315</v>
      </c>
      <c r="E925" s="55" t="s">
        <v>818</v>
      </c>
      <c r="F925" s="392">
        <v>1.1000000000000001</v>
      </c>
      <c r="G925" s="394">
        <v>36.39</v>
      </c>
      <c r="H925" s="395">
        <f t="shared" si="62"/>
        <v>40.029000000000003</v>
      </c>
      <c r="I925" s="386"/>
      <c r="J925" s="397">
        <f t="shared" si="63"/>
        <v>40.029000000000003</v>
      </c>
      <c r="K925" s="40"/>
    </row>
    <row r="926" spans="1:11" s="44" customFormat="1" ht="13.5" customHeight="1">
      <c r="A926" s="377" t="s">
        <v>698</v>
      </c>
      <c r="B926" s="392" t="s">
        <v>406</v>
      </c>
      <c r="C926" s="392" t="s">
        <v>443</v>
      </c>
      <c r="D926" s="398" t="s">
        <v>1316</v>
      </c>
      <c r="E926" s="393" t="s">
        <v>1318</v>
      </c>
      <c r="F926" s="402">
        <f>0.8356+0.068</f>
        <v>0.90359999999999996</v>
      </c>
      <c r="G926" s="394">
        <v>32.74</v>
      </c>
      <c r="H926" s="399"/>
      <c r="I926" s="403">
        <f>F926*G926</f>
        <v>29.583864000000002</v>
      </c>
      <c r="J926" s="397">
        <f>I926</f>
        <v>29.583864000000002</v>
      </c>
      <c r="K926" s="40"/>
    </row>
    <row r="927" spans="1:11" s="44" customFormat="1" ht="13.5" customHeight="1">
      <c r="A927" s="377" t="s">
        <v>698</v>
      </c>
      <c r="B927" s="392" t="s">
        <v>406</v>
      </c>
      <c r="C927" s="392" t="s">
        <v>413</v>
      </c>
      <c r="D927" s="398" t="s">
        <v>1317</v>
      </c>
      <c r="E927" s="393" t="s">
        <v>1318</v>
      </c>
      <c r="F927" s="392">
        <f>0.2089+0.017</f>
        <v>0.22589999999999999</v>
      </c>
      <c r="G927" s="394">
        <v>25.49</v>
      </c>
      <c r="H927" s="399"/>
      <c r="I927" s="403">
        <f>F927*G927</f>
        <v>5.7581909999999992</v>
      </c>
      <c r="J927" s="397">
        <f>I927</f>
        <v>5.7581909999999992</v>
      </c>
      <c r="K927" s="40"/>
    </row>
    <row r="928" spans="1:11" s="44" customFormat="1" ht="13.5" customHeight="1">
      <c r="A928" s="400"/>
      <c r="B928" s="404"/>
      <c r="C928" s="404"/>
      <c r="D928" s="405" t="s">
        <v>696</v>
      </c>
      <c r="E928" s="406"/>
      <c r="F928" s="407"/>
      <c r="G928" s="399"/>
      <c r="H928" s="408">
        <f>SUM(H916:H927)</f>
        <v>147.914601</v>
      </c>
      <c r="I928" s="386">
        <f>SUM(I926:I927)</f>
        <v>35.342055000000002</v>
      </c>
      <c r="J928" s="386">
        <f>SUM(H928:I928)</f>
        <v>183.25665600000002</v>
      </c>
      <c r="K928" s="40"/>
    </row>
    <row r="929" spans="1:11" s="44" customFormat="1" ht="13.5" customHeight="1">
      <c r="A929" s="384" t="s">
        <v>1052</v>
      </c>
      <c r="B929" s="1029" t="s">
        <v>1593</v>
      </c>
      <c r="C929" s="1030"/>
      <c r="D929" s="1030"/>
      <c r="E929" s="409"/>
      <c r="F929" s="409"/>
      <c r="G929" s="409"/>
      <c r="H929" s="409"/>
      <c r="I929" s="409"/>
      <c r="J929" s="410"/>
      <c r="K929" s="40"/>
    </row>
    <row r="930" spans="1:11" s="44" customFormat="1" ht="13.5" customHeight="1">
      <c r="A930" s="524"/>
      <c r="B930" s="459"/>
      <c r="C930" s="459"/>
      <c r="D930" s="459"/>
      <c r="E930" s="460"/>
      <c r="F930" s="460"/>
      <c r="G930" s="460"/>
      <c r="H930" s="460"/>
      <c r="I930" s="460"/>
      <c r="J930" s="461"/>
      <c r="K930" s="40"/>
    </row>
    <row r="931" spans="1:11" s="44" customFormat="1" ht="24.95" customHeight="1">
      <c r="A931" s="463" t="s">
        <v>697</v>
      </c>
      <c r="B931" s="440"/>
      <c r="C931" s="438" t="s">
        <v>1648</v>
      </c>
      <c r="D931" s="498" t="s">
        <v>1622</v>
      </c>
      <c r="E931" s="440" t="s">
        <v>405</v>
      </c>
      <c r="F931" s="376" t="s">
        <v>692</v>
      </c>
      <c r="G931" s="376" t="s">
        <v>693</v>
      </c>
      <c r="H931" s="376" t="s">
        <v>694</v>
      </c>
      <c r="I931" s="376" t="s">
        <v>695</v>
      </c>
      <c r="J931" s="376" t="s">
        <v>696</v>
      </c>
      <c r="K931" s="40"/>
    </row>
    <row r="932" spans="1:11" s="44" customFormat="1" ht="25.5">
      <c r="A932" s="446" t="s">
        <v>698</v>
      </c>
      <c r="B932" s="432" t="s">
        <v>409</v>
      </c>
      <c r="C932" s="478">
        <v>994</v>
      </c>
      <c r="D932" s="545" t="s">
        <v>1649</v>
      </c>
      <c r="E932" s="55" t="s">
        <v>13</v>
      </c>
      <c r="F932" s="62">
        <v>1.02</v>
      </c>
      <c r="G932" s="112">
        <v>5.78</v>
      </c>
      <c r="H932" s="52">
        <f>F932*G932</f>
        <v>5.8956</v>
      </c>
      <c r="I932" s="53"/>
      <c r="J932" s="54">
        <f>F932*G932</f>
        <v>5.8956</v>
      </c>
      <c r="K932" s="40"/>
    </row>
    <row r="933" spans="1:11" s="44" customFormat="1" ht="13.5" customHeight="1">
      <c r="A933" s="446" t="s">
        <v>698</v>
      </c>
      <c r="B933" s="432" t="s">
        <v>406</v>
      </c>
      <c r="C933" s="441">
        <v>88247</v>
      </c>
      <c r="D933" s="447" t="s">
        <v>746</v>
      </c>
      <c r="E933" s="432" t="s">
        <v>740</v>
      </c>
      <c r="F933" s="64">
        <v>0.13</v>
      </c>
      <c r="G933" s="483">
        <v>26.96</v>
      </c>
      <c r="H933" s="55"/>
      <c r="I933" s="56">
        <f>F933*G933</f>
        <v>3.5048000000000004</v>
      </c>
      <c r="J933" s="57">
        <f>F933*G933</f>
        <v>3.5048000000000004</v>
      </c>
      <c r="K933" s="40"/>
    </row>
    <row r="934" spans="1:11" s="44" customFormat="1" ht="13.5" customHeight="1">
      <c r="A934" s="446" t="s">
        <v>698</v>
      </c>
      <c r="B934" s="432" t="s">
        <v>406</v>
      </c>
      <c r="C934" s="441">
        <v>88264</v>
      </c>
      <c r="D934" s="447" t="s">
        <v>747</v>
      </c>
      <c r="E934" s="432" t="s">
        <v>740</v>
      </c>
      <c r="F934" s="64">
        <v>0.13</v>
      </c>
      <c r="G934" s="483">
        <v>32.99</v>
      </c>
      <c r="H934" s="55"/>
      <c r="I934" s="56">
        <f>F934*G934</f>
        <v>4.2887000000000004</v>
      </c>
      <c r="J934" s="57">
        <f>F934*G934</f>
        <v>4.2887000000000004</v>
      </c>
      <c r="K934" s="40"/>
    </row>
    <row r="935" spans="1:11" s="44" customFormat="1" ht="13.5" customHeight="1">
      <c r="A935" s="449"/>
      <c r="B935" s="469"/>
      <c r="C935" s="450"/>
      <c r="D935" s="451" t="s">
        <v>696</v>
      </c>
      <c r="E935" s="470"/>
      <c r="F935" s="61"/>
      <c r="G935" s="58"/>
      <c r="H935" s="59">
        <f>SUM(H932:H934)</f>
        <v>5.8956</v>
      </c>
      <c r="I935" s="59">
        <f>SUM(I932:I934)</f>
        <v>7.7935000000000008</v>
      </c>
      <c r="J935" s="60">
        <f>SUM(J932:J934)</f>
        <v>13.689100000000002</v>
      </c>
      <c r="K935" s="40"/>
    </row>
    <row r="936" spans="1:11" s="44" customFormat="1" ht="13.5" customHeight="1">
      <c r="A936" s="469" t="s">
        <v>1052</v>
      </c>
      <c r="B936" s="1027" t="s">
        <v>1282</v>
      </c>
      <c r="C936" s="1028"/>
      <c r="D936" s="1028"/>
      <c r="E936" s="457"/>
      <c r="F936" s="457"/>
      <c r="G936" s="457"/>
      <c r="H936" s="457"/>
      <c r="I936" s="457"/>
      <c r="J936" s="458"/>
      <c r="K936" s="40"/>
    </row>
    <row r="937" spans="1:11" s="44" customFormat="1" ht="13.5" customHeight="1">
      <c r="A937" s="524"/>
      <c r="B937" s="401"/>
      <c r="C937" s="401"/>
      <c r="D937" s="401"/>
      <c r="E937" s="460"/>
      <c r="F937" s="460"/>
      <c r="G937" s="460"/>
      <c r="H937" s="460"/>
      <c r="I937" s="460"/>
      <c r="J937" s="461"/>
      <c r="K937" s="40"/>
    </row>
    <row r="938" spans="1:11" s="44" customFormat="1" ht="13.5" customHeight="1">
      <c r="A938" s="463" t="s">
        <v>697</v>
      </c>
      <c r="B938" s="440"/>
      <c r="C938" s="438" t="s">
        <v>1655</v>
      </c>
      <c r="D938" s="439" t="s">
        <v>1653</v>
      </c>
      <c r="E938" s="376" t="s">
        <v>411</v>
      </c>
      <c r="F938" s="440" t="s">
        <v>692</v>
      </c>
      <c r="G938" s="376" t="s">
        <v>693</v>
      </c>
      <c r="H938" s="440" t="s">
        <v>694</v>
      </c>
      <c r="I938" s="440" t="s">
        <v>695</v>
      </c>
      <c r="J938" s="440" t="s">
        <v>696</v>
      </c>
      <c r="K938" s="40"/>
    </row>
    <row r="939" spans="1:11" s="44" customFormat="1" ht="13.5" customHeight="1">
      <c r="A939" s="446" t="s">
        <v>699</v>
      </c>
      <c r="B939" s="465" t="s">
        <v>409</v>
      </c>
      <c r="C939" s="478" t="s">
        <v>1657</v>
      </c>
      <c r="D939" s="480" t="s">
        <v>1653</v>
      </c>
      <c r="E939" s="411" t="s">
        <v>737</v>
      </c>
      <c r="F939" s="62">
        <v>1</v>
      </c>
      <c r="G939" s="112">
        <v>150.09</v>
      </c>
      <c r="H939" s="52">
        <f>F939*G939</f>
        <v>150.09</v>
      </c>
      <c r="I939" s="53"/>
      <c r="J939" s="54">
        <f>F939*G939</f>
        <v>150.09</v>
      </c>
      <c r="K939" s="40"/>
    </row>
    <row r="940" spans="1:11" s="44" customFormat="1" ht="13.5" customHeight="1">
      <c r="A940" s="446" t="s">
        <v>698</v>
      </c>
      <c r="B940" s="465" t="s">
        <v>406</v>
      </c>
      <c r="C940" s="441">
        <v>88266</v>
      </c>
      <c r="D940" s="447" t="s">
        <v>1296</v>
      </c>
      <c r="E940" s="432" t="s">
        <v>740</v>
      </c>
      <c r="F940" s="64">
        <v>0.62</v>
      </c>
      <c r="G940" s="483">
        <v>36.65</v>
      </c>
      <c r="H940" s="55"/>
      <c r="I940" s="56">
        <f>F940*G940</f>
        <v>22.722999999999999</v>
      </c>
      <c r="J940" s="57">
        <f>F940*G940</f>
        <v>22.722999999999999</v>
      </c>
      <c r="K940" s="40"/>
    </row>
    <row r="941" spans="1:11" s="44" customFormat="1" ht="13.5" customHeight="1">
      <c r="A941" s="446" t="s">
        <v>698</v>
      </c>
      <c r="B941" s="465" t="s">
        <v>406</v>
      </c>
      <c r="C941" s="441">
        <v>88264</v>
      </c>
      <c r="D941" s="447" t="s">
        <v>747</v>
      </c>
      <c r="E941" s="432" t="s">
        <v>740</v>
      </c>
      <c r="F941" s="64">
        <v>0.62</v>
      </c>
      <c r="G941" s="483">
        <v>32.99</v>
      </c>
      <c r="H941" s="55"/>
      <c r="I941" s="56">
        <f>F941*G941</f>
        <v>20.453800000000001</v>
      </c>
      <c r="J941" s="57">
        <f>F941*G941</f>
        <v>20.453800000000001</v>
      </c>
      <c r="K941" s="40"/>
    </row>
    <row r="942" spans="1:11" s="44" customFormat="1" ht="13.5" customHeight="1">
      <c r="A942" s="449"/>
      <c r="B942" s="441"/>
      <c r="C942" s="476"/>
      <c r="D942" s="451" t="s">
        <v>696</v>
      </c>
      <c r="E942" s="470"/>
      <c r="F942" s="61"/>
      <c r="G942" s="58"/>
      <c r="H942" s="59">
        <f>SUM(H939:H941)</f>
        <v>150.09</v>
      </c>
      <c r="I942" s="59">
        <f>SUM(I939:I941)</f>
        <v>43.1768</v>
      </c>
      <c r="J942" s="60">
        <f>SUM(J939:J941)</f>
        <v>193.26679999999999</v>
      </c>
      <c r="K942" s="40"/>
    </row>
    <row r="943" spans="1:11" ht="12.75">
      <c r="A943" s="469" t="s">
        <v>1052</v>
      </c>
      <c r="B943" s="1027" t="s">
        <v>1656</v>
      </c>
      <c r="C943" s="1028"/>
      <c r="D943" s="1028"/>
      <c r="E943" s="493"/>
      <c r="F943" s="493"/>
      <c r="G943" s="493"/>
      <c r="H943" s="493"/>
      <c r="I943" s="493"/>
      <c r="J943" s="490"/>
    </row>
    <row r="944" spans="1:11" ht="12.75">
      <c r="A944" s="401"/>
      <c r="B944" s="401"/>
      <c r="C944" s="401"/>
      <c r="D944" s="401"/>
      <c r="E944" s="63"/>
      <c r="F944" s="63"/>
      <c r="G944" s="63"/>
      <c r="H944" s="63"/>
      <c r="I944" s="63"/>
      <c r="J944" s="63"/>
    </row>
    <row r="945" spans="1:10" ht="12.75">
      <c r="A945" s="463" t="s">
        <v>697</v>
      </c>
      <c r="B945" s="440"/>
      <c r="C945" s="438" t="s">
        <v>1662</v>
      </c>
      <c r="D945" s="110" t="s">
        <v>1628</v>
      </c>
      <c r="E945" s="376" t="s">
        <v>411</v>
      </c>
      <c r="F945" s="376" t="s">
        <v>692</v>
      </c>
      <c r="G945" s="376" t="s">
        <v>693</v>
      </c>
      <c r="H945" s="376" t="s">
        <v>694</v>
      </c>
      <c r="I945" s="376" t="s">
        <v>695</v>
      </c>
      <c r="J945" s="376" t="s">
        <v>696</v>
      </c>
    </row>
    <row r="946" spans="1:10" ht="12.75">
      <c r="A946" s="446" t="s">
        <v>699</v>
      </c>
      <c r="B946" s="432" t="s">
        <v>409</v>
      </c>
      <c r="C946" s="478" t="s">
        <v>1661</v>
      </c>
      <c r="D946" s="109" t="s">
        <v>1628</v>
      </c>
      <c r="E946" s="411" t="s">
        <v>737</v>
      </c>
      <c r="F946" s="62">
        <v>1</v>
      </c>
      <c r="G946" s="112">
        <v>64.02</v>
      </c>
      <c r="H946" s="52">
        <f>F946*G946</f>
        <v>64.02</v>
      </c>
      <c r="I946" s="53"/>
      <c r="J946" s="54">
        <f>F946*G946</f>
        <v>64.02</v>
      </c>
    </row>
    <row r="947" spans="1:10" ht="12.75">
      <c r="A947" s="446" t="s">
        <v>698</v>
      </c>
      <c r="B947" s="432" t="s">
        <v>406</v>
      </c>
      <c r="C947" s="441">
        <v>88247</v>
      </c>
      <c r="D947" s="447" t="s">
        <v>746</v>
      </c>
      <c r="E947" s="432" t="s">
        <v>740</v>
      </c>
      <c r="F947" s="111">
        <v>0.3</v>
      </c>
      <c r="G947" s="483">
        <v>26.96</v>
      </c>
      <c r="H947" s="55"/>
      <c r="I947" s="56">
        <f>F947*G947</f>
        <v>8.0879999999999992</v>
      </c>
      <c r="J947" s="57">
        <f>F947*G947</f>
        <v>8.0879999999999992</v>
      </c>
    </row>
    <row r="948" spans="1:10" ht="12.75">
      <c r="A948" s="446" t="s">
        <v>698</v>
      </c>
      <c r="B948" s="432" t="s">
        <v>406</v>
      </c>
      <c r="C948" s="441">
        <v>88264</v>
      </c>
      <c r="D948" s="447" t="s">
        <v>747</v>
      </c>
      <c r="E948" s="432" t="s">
        <v>740</v>
      </c>
      <c r="F948" s="111">
        <v>0.3</v>
      </c>
      <c r="G948" s="483">
        <v>32.99</v>
      </c>
      <c r="H948" s="55"/>
      <c r="I948" s="56">
        <f>F948*G948</f>
        <v>9.8970000000000002</v>
      </c>
      <c r="J948" s="57">
        <f>F948*G948</f>
        <v>9.8970000000000002</v>
      </c>
    </row>
    <row r="949" spans="1:10" ht="12.75">
      <c r="A949" s="449"/>
      <c r="B949" s="469"/>
      <c r="C949" s="450"/>
      <c r="D949" s="451" t="s">
        <v>696</v>
      </c>
      <c r="E949" s="470"/>
      <c r="F949" s="61"/>
      <c r="G949" s="58"/>
      <c r="H949" s="59">
        <f>SUM(H946:H948)</f>
        <v>64.02</v>
      </c>
      <c r="I949" s="59">
        <f>SUM(I946:I948)</f>
        <v>17.984999999999999</v>
      </c>
      <c r="J949" s="60">
        <f>SUM(J946:J948)</f>
        <v>82.004999999999995</v>
      </c>
    </row>
    <row r="950" spans="1:10" ht="12.75">
      <c r="A950" s="469" t="s">
        <v>1052</v>
      </c>
      <c r="B950" s="1027" t="s">
        <v>1237</v>
      </c>
      <c r="C950" s="1028"/>
      <c r="D950" s="1028"/>
      <c r="E950" s="457"/>
      <c r="F950" s="457"/>
      <c r="G950" s="457"/>
      <c r="H950" s="457"/>
      <c r="I950" s="457"/>
      <c r="J950" s="458"/>
    </row>
    <row r="951" spans="1:10" ht="12.75">
      <c r="A951" s="401"/>
      <c r="B951" s="401"/>
      <c r="C951" s="401"/>
      <c r="D951" s="401"/>
      <c r="E951" s="63"/>
      <c r="F951" s="63"/>
      <c r="G951" s="63"/>
      <c r="H951" s="63"/>
      <c r="I951" s="63"/>
      <c r="J951" s="63"/>
    </row>
    <row r="952" spans="1:10" ht="12.75">
      <c r="A952" s="463" t="s">
        <v>697</v>
      </c>
      <c r="B952" s="440"/>
      <c r="C952" s="438" t="s">
        <v>1663</v>
      </c>
      <c r="D952" s="110" t="s">
        <v>1629</v>
      </c>
      <c r="E952" s="376" t="s">
        <v>411</v>
      </c>
      <c r="F952" s="376" t="s">
        <v>692</v>
      </c>
      <c r="G952" s="376" t="s">
        <v>693</v>
      </c>
      <c r="H952" s="376" t="s">
        <v>694</v>
      </c>
      <c r="I952" s="376" t="s">
        <v>695</v>
      </c>
      <c r="J952" s="376" t="s">
        <v>696</v>
      </c>
    </row>
    <row r="953" spans="1:10" ht="12.75">
      <c r="A953" s="446" t="s">
        <v>699</v>
      </c>
      <c r="B953" s="432" t="s">
        <v>409</v>
      </c>
      <c r="C953" s="478" t="s">
        <v>1661</v>
      </c>
      <c r="D953" s="109" t="s">
        <v>1629</v>
      </c>
      <c r="E953" s="411" t="s">
        <v>737</v>
      </c>
      <c r="F953" s="62">
        <v>1</v>
      </c>
      <c r="G953" s="112">
        <v>89.48</v>
      </c>
      <c r="H953" s="52">
        <f>F953*G953</f>
        <v>89.48</v>
      </c>
      <c r="I953" s="53"/>
      <c r="J953" s="54">
        <f>F953*G953</f>
        <v>89.48</v>
      </c>
    </row>
    <row r="954" spans="1:10" ht="12.75">
      <c r="A954" s="446" t="s">
        <v>698</v>
      </c>
      <c r="B954" s="432" t="s">
        <v>406</v>
      </c>
      <c r="C954" s="441">
        <v>88247</v>
      </c>
      <c r="D954" s="447" t="s">
        <v>746</v>
      </c>
      <c r="E954" s="432" t="s">
        <v>740</v>
      </c>
      <c r="F954" s="111">
        <v>0.3</v>
      </c>
      <c r="G954" s="483">
        <v>26.96</v>
      </c>
      <c r="H954" s="55"/>
      <c r="I954" s="56">
        <f>F954*G954</f>
        <v>8.0879999999999992</v>
      </c>
      <c r="J954" s="57">
        <f>F954*G954</f>
        <v>8.0879999999999992</v>
      </c>
    </row>
    <row r="955" spans="1:10" ht="12.75">
      <c r="A955" s="446" t="s">
        <v>698</v>
      </c>
      <c r="B955" s="432" t="s">
        <v>406</v>
      </c>
      <c r="C955" s="441">
        <v>88264</v>
      </c>
      <c r="D955" s="447" t="s">
        <v>747</v>
      </c>
      <c r="E955" s="432" t="s">
        <v>740</v>
      </c>
      <c r="F955" s="111">
        <v>0.3</v>
      </c>
      <c r="G955" s="483">
        <v>32.99</v>
      </c>
      <c r="H955" s="55"/>
      <c r="I955" s="56">
        <f>F955*G955</f>
        <v>9.8970000000000002</v>
      </c>
      <c r="J955" s="57">
        <f>F955*G955</f>
        <v>9.8970000000000002</v>
      </c>
    </row>
    <row r="956" spans="1:10" ht="12.75">
      <c r="A956" s="449"/>
      <c r="B956" s="469"/>
      <c r="C956" s="450"/>
      <c r="D956" s="451" t="s">
        <v>696</v>
      </c>
      <c r="E956" s="470"/>
      <c r="F956" s="61"/>
      <c r="G956" s="58"/>
      <c r="H956" s="59">
        <f>SUM(H953:H955)</f>
        <v>89.48</v>
      </c>
      <c r="I956" s="59">
        <f>SUM(I953:I955)</f>
        <v>17.984999999999999</v>
      </c>
      <c r="J956" s="60">
        <f>SUM(J953:J955)</f>
        <v>107.465</v>
      </c>
    </row>
    <row r="957" spans="1:10" ht="12.75">
      <c r="A957" s="469" t="s">
        <v>1052</v>
      </c>
      <c r="B957" s="1027" t="s">
        <v>1664</v>
      </c>
      <c r="C957" s="1028"/>
      <c r="D957" s="1028"/>
      <c r="E957" s="457"/>
      <c r="F957" s="457"/>
      <c r="G957" s="457"/>
      <c r="H957" s="457"/>
      <c r="I957" s="457"/>
      <c r="J957" s="458"/>
    </row>
    <row r="958" spans="1:10" ht="12.75">
      <c r="A958" s="401"/>
      <c r="B958" s="401"/>
      <c r="C958" s="401"/>
      <c r="D958" s="401"/>
      <c r="E958" s="63"/>
      <c r="F958" s="63"/>
      <c r="G958" s="63"/>
      <c r="H958" s="63"/>
      <c r="I958" s="63"/>
      <c r="J958" s="63"/>
    </row>
    <row r="959" spans="1:10" ht="12.75">
      <c r="A959" s="463" t="s">
        <v>697</v>
      </c>
      <c r="B959" s="440"/>
      <c r="C959" s="438" t="s">
        <v>1665</v>
      </c>
      <c r="D959" s="110" t="s">
        <v>1630</v>
      </c>
      <c r="E959" s="376" t="s">
        <v>411</v>
      </c>
      <c r="F959" s="376" t="s">
        <v>692</v>
      </c>
      <c r="G959" s="376" t="s">
        <v>693</v>
      </c>
      <c r="H959" s="376" t="s">
        <v>694</v>
      </c>
      <c r="I959" s="376" t="s">
        <v>695</v>
      </c>
      <c r="J959" s="376" t="s">
        <v>696</v>
      </c>
    </row>
    <row r="960" spans="1:10" ht="12.75">
      <c r="A960" s="446" t="s">
        <v>699</v>
      </c>
      <c r="B960" s="432" t="s">
        <v>409</v>
      </c>
      <c r="C960" s="478" t="s">
        <v>1661</v>
      </c>
      <c r="D960" s="109" t="s">
        <v>1630</v>
      </c>
      <c r="E960" s="411" t="s">
        <v>737</v>
      </c>
      <c r="F960" s="62">
        <v>1</v>
      </c>
      <c r="G960" s="112">
        <v>8.39</v>
      </c>
      <c r="H960" s="52">
        <f>F960*G960</f>
        <v>8.39</v>
      </c>
      <c r="I960" s="53"/>
      <c r="J960" s="54">
        <f>F960*G960</f>
        <v>8.39</v>
      </c>
    </row>
    <row r="961" spans="1:10" ht="12.75">
      <c r="A961" s="446" t="s">
        <v>698</v>
      </c>
      <c r="B961" s="432" t="s">
        <v>406</v>
      </c>
      <c r="C961" s="441">
        <v>88247</v>
      </c>
      <c r="D961" s="447" t="s">
        <v>746</v>
      </c>
      <c r="E961" s="432" t="s">
        <v>740</v>
      </c>
      <c r="F961" s="64">
        <v>0.14000000000000001</v>
      </c>
      <c r="G961" s="483">
        <v>26.96</v>
      </c>
      <c r="H961" s="55"/>
      <c r="I961" s="56">
        <f>F961*G961</f>
        <v>3.7744000000000004</v>
      </c>
      <c r="J961" s="57">
        <f>F961*G961</f>
        <v>3.7744000000000004</v>
      </c>
    </row>
    <row r="962" spans="1:10" ht="12.75">
      <c r="A962" s="446" t="s">
        <v>698</v>
      </c>
      <c r="B962" s="432" t="s">
        <v>406</v>
      </c>
      <c r="C962" s="441">
        <v>88264</v>
      </c>
      <c r="D962" s="447" t="s">
        <v>747</v>
      </c>
      <c r="E962" s="432" t="s">
        <v>740</v>
      </c>
      <c r="F962" s="64">
        <v>0.14000000000000001</v>
      </c>
      <c r="G962" s="483">
        <v>32.99</v>
      </c>
      <c r="H962" s="55"/>
      <c r="I962" s="56">
        <f>F962*G962</f>
        <v>4.6186000000000007</v>
      </c>
      <c r="J962" s="57">
        <f>F962*G962</f>
        <v>4.6186000000000007</v>
      </c>
    </row>
    <row r="963" spans="1:10" ht="12.75">
      <c r="A963" s="449"/>
      <c r="B963" s="469"/>
      <c r="C963" s="450"/>
      <c r="D963" s="451" t="s">
        <v>696</v>
      </c>
      <c r="E963" s="470"/>
      <c r="F963" s="61"/>
      <c r="G963" s="58"/>
      <c r="H963" s="59">
        <f>SUM(H960:H962)</f>
        <v>8.39</v>
      </c>
      <c r="I963" s="59">
        <f>SUM(I960:I962)</f>
        <v>8.3930000000000007</v>
      </c>
      <c r="J963" s="60">
        <f>SUM(J960:J962)</f>
        <v>16.783000000000001</v>
      </c>
    </row>
    <row r="964" spans="1:10" ht="12.75">
      <c r="A964" s="469" t="s">
        <v>1052</v>
      </c>
      <c r="B964" s="1027" t="s">
        <v>1666</v>
      </c>
      <c r="C964" s="1028"/>
      <c r="D964" s="1028"/>
      <c r="E964" s="457"/>
      <c r="F964" s="457"/>
      <c r="G964" s="457"/>
      <c r="H964" s="457"/>
      <c r="I964" s="457"/>
      <c r="J964" s="458"/>
    </row>
    <row r="965" spans="1:10" ht="12.75">
      <c r="A965" s="401"/>
      <c r="B965" s="401"/>
      <c r="C965" s="401"/>
      <c r="D965" s="401"/>
      <c r="E965" s="63"/>
      <c r="F965" s="63"/>
      <c r="G965" s="63"/>
      <c r="H965" s="63"/>
      <c r="I965" s="63"/>
      <c r="J965" s="63"/>
    </row>
    <row r="966" spans="1:10" ht="12.75">
      <c r="A966" s="463" t="s">
        <v>697</v>
      </c>
      <c r="B966" s="440"/>
      <c r="C966" s="438" t="s">
        <v>1667</v>
      </c>
      <c r="D966" s="110" t="s">
        <v>1631</v>
      </c>
      <c r="E966" s="376" t="s">
        <v>411</v>
      </c>
      <c r="F966" s="376" t="s">
        <v>692</v>
      </c>
      <c r="G966" s="376" t="s">
        <v>693</v>
      </c>
      <c r="H966" s="376" t="s">
        <v>694</v>
      </c>
      <c r="I966" s="376" t="s">
        <v>695</v>
      </c>
      <c r="J966" s="376" t="s">
        <v>696</v>
      </c>
    </row>
    <row r="967" spans="1:10" ht="12.75">
      <c r="A967" s="446" t="s">
        <v>819</v>
      </c>
      <c r="B967" s="432" t="s">
        <v>409</v>
      </c>
      <c r="C967" s="478">
        <v>77784</v>
      </c>
      <c r="D967" s="109" t="s">
        <v>1670</v>
      </c>
      <c r="E967" s="411" t="s">
        <v>737</v>
      </c>
      <c r="F967" s="62">
        <v>1.1000000000000001</v>
      </c>
      <c r="G967" s="112">
        <f>22.44*3</f>
        <v>67.320000000000007</v>
      </c>
      <c r="H967" s="52">
        <f>F967*G967</f>
        <v>74.052000000000021</v>
      </c>
      <c r="I967" s="53"/>
      <c r="J967" s="54">
        <f>F967*G967</f>
        <v>74.052000000000021</v>
      </c>
    </row>
    <row r="968" spans="1:10" ht="12.75">
      <c r="A968" s="446" t="s">
        <v>699</v>
      </c>
      <c r="B968" s="432" t="s">
        <v>409</v>
      </c>
      <c r="C968" s="478" t="s">
        <v>1661</v>
      </c>
      <c r="D968" s="109" t="s">
        <v>1669</v>
      </c>
      <c r="E968" s="411" t="s">
        <v>737</v>
      </c>
      <c r="F968" s="62">
        <v>1.1000000000000001</v>
      </c>
      <c r="G968" s="112">
        <v>24.54</v>
      </c>
      <c r="H968" s="52">
        <f>F968*G968</f>
        <v>26.994</v>
      </c>
      <c r="I968" s="53"/>
      <c r="J968" s="54">
        <f>F968*G968</f>
        <v>26.994</v>
      </c>
    </row>
    <row r="969" spans="1:10" ht="12.75">
      <c r="A969" s="446" t="s">
        <v>698</v>
      </c>
      <c r="B969" s="432" t="s">
        <v>406</v>
      </c>
      <c r="C969" s="441">
        <v>88247</v>
      </c>
      <c r="D969" s="447" t="s">
        <v>746</v>
      </c>
      <c r="E969" s="432" t="s">
        <v>740</v>
      </c>
      <c r="F969" s="64">
        <v>0.1</v>
      </c>
      <c r="G969" s="483">
        <v>26.96</v>
      </c>
      <c r="H969" s="55"/>
      <c r="I969" s="56">
        <f>F969*G969</f>
        <v>2.6960000000000002</v>
      </c>
      <c r="J969" s="57">
        <f>F969*G969</f>
        <v>2.6960000000000002</v>
      </c>
    </row>
    <row r="970" spans="1:10" ht="12.75">
      <c r="A970" s="446" t="s">
        <v>698</v>
      </c>
      <c r="B970" s="432" t="s">
        <v>406</v>
      </c>
      <c r="C970" s="441">
        <v>88264</v>
      </c>
      <c r="D970" s="447" t="s">
        <v>747</v>
      </c>
      <c r="E970" s="432" t="s">
        <v>740</v>
      </c>
      <c r="F970" s="64">
        <v>0.2</v>
      </c>
      <c r="G970" s="483">
        <v>32.99</v>
      </c>
      <c r="H970" s="55"/>
      <c r="I970" s="56">
        <f>F970*G970</f>
        <v>6.5980000000000008</v>
      </c>
      <c r="J970" s="57">
        <f>F970*G970</f>
        <v>6.5980000000000008</v>
      </c>
    </row>
    <row r="971" spans="1:10" ht="12.75">
      <c r="A971" s="449"/>
      <c r="B971" s="469"/>
      <c r="C971" s="450"/>
      <c r="D971" s="451" t="s">
        <v>696</v>
      </c>
      <c r="E971" s="470"/>
      <c r="F971" s="61"/>
      <c r="G971" s="58"/>
      <c r="H971" s="59">
        <f>SUM(H967:H970)</f>
        <v>101.04600000000002</v>
      </c>
      <c r="I971" s="59">
        <f>SUM(I967:I970)</f>
        <v>9.2940000000000005</v>
      </c>
      <c r="J971" s="60">
        <f>SUM(J967:J970)</f>
        <v>110.34000000000002</v>
      </c>
    </row>
    <row r="972" spans="1:10" ht="12.75">
      <c r="A972" s="469" t="s">
        <v>1052</v>
      </c>
      <c r="B972" s="1027" t="s">
        <v>1668</v>
      </c>
      <c r="C972" s="1028"/>
      <c r="D972" s="1028"/>
      <c r="E972" s="457"/>
      <c r="F972" s="457"/>
      <c r="G972" s="457"/>
      <c r="H972" s="457"/>
      <c r="I972" s="457"/>
      <c r="J972" s="458"/>
    </row>
    <row r="973" spans="1:10" ht="12.75">
      <c r="A973" s="401"/>
      <c r="B973" s="401"/>
      <c r="C973" s="401"/>
      <c r="D973" s="401"/>
      <c r="E973" s="63"/>
      <c r="F973" s="63"/>
      <c r="G973" s="63"/>
      <c r="H973" s="63"/>
      <c r="I973" s="63"/>
      <c r="J973" s="63"/>
    </row>
    <row r="974" spans="1:10" ht="12.75">
      <c r="A974" s="463" t="s">
        <v>697</v>
      </c>
      <c r="B974" s="440"/>
      <c r="C974" s="438" t="s">
        <v>1671</v>
      </c>
      <c r="D974" s="110" t="s">
        <v>1673</v>
      </c>
      <c r="E974" s="376" t="s">
        <v>411</v>
      </c>
      <c r="F974" s="376" t="s">
        <v>692</v>
      </c>
      <c r="G974" s="376" t="s">
        <v>693</v>
      </c>
      <c r="H974" s="376" t="s">
        <v>694</v>
      </c>
      <c r="I974" s="376" t="s">
        <v>695</v>
      </c>
      <c r="J974" s="376" t="s">
        <v>696</v>
      </c>
    </row>
    <row r="975" spans="1:10" ht="12.75">
      <c r="A975" s="446" t="s">
        <v>699</v>
      </c>
      <c r="B975" s="432" t="s">
        <v>409</v>
      </c>
      <c r="C975" s="478"/>
      <c r="D975" s="109" t="s">
        <v>1673</v>
      </c>
      <c r="E975" s="411" t="s">
        <v>737</v>
      </c>
      <c r="F975" s="62">
        <v>1</v>
      </c>
      <c r="G975" s="112">
        <v>42.5</v>
      </c>
      <c r="H975" s="52">
        <f>F975*G975</f>
        <v>42.5</v>
      </c>
      <c r="I975" s="53"/>
      <c r="J975" s="54">
        <f>F975*G975</f>
        <v>42.5</v>
      </c>
    </row>
    <row r="976" spans="1:10" ht="12.75">
      <c r="A976" s="446" t="s">
        <v>698</v>
      </c>
      <c r="B976" s="432" t="s">
        <v>406</v>
      </c>
      <c r="C976" s="441">
        <v>88247</v>
      </c>
      <c r="D976" s="447" t="s">
        <v>746</v>
      </c>
      <c r="E976" s="432" t="s">
        <v>740</v>
      </c>
      <c r="F976" s="64">
        <v>0.14000000000000001</v>
      </c>
      <c r="G976" s="483">
        <v>26.96</v>
      </c>
      <c r="H976" s="55"/>
      <c r="I976" s="56">
        <f>F976*G976</f>
        <v>3.7744000000000004</v>
      </c>
      <c r="J976" s="57">
        <f>F976*G976</f>
        <v>3.7744000000000004</v>
      </c>
    </row>
    <row r="977" spans="1:10" ht="12.75">
      <c r="A977" s="446" t="s">
        <v>698</v>
      </c>
      <c r="B977" s="432" t="s">
        <v>406</v>
      </c>
      <c r="C977" s="441">
        <v>88264</v>
      </c>
      <c r="D977" s="447" t="s">
        <v>747</v>
      </c>
      <c r="E977" s="432" t="s">
        <v>740</v>
      </c>
      <c r="F977" s="64">
        <v>0.14000000000000001</v>
      </c>
      <c r="G977" s="483">
        <v>32.99</v>
      </c>
      <c r="H977" s="55"/>
      <c r="I977" s="56">
        <f>F977*G977</f>
        <v>4.6186000000000007</v>
      </c>
      <c r="J977" s="57">
        <f>F977*G977</f>
        <v>4.6186000000000007</v>
      </c>
    </row>
    <row r="978" spans="1:10" ht="12.75">
      <c r="A978" s="449"/>
      <c r="B978" s="469"/>
      <c r="C978" s="450"/>
      <c r="D978" s="451" t="s">
        <v>696</v>
      </c>
      <c r="E978" s="470"/>
      <c r="F978" s="61"/>
      <c r="G978" s="58"/>
      <c r="H978" s="59">
        <f>SUM(H975:H977)</f>
        <v>42.5</v>
      </c>
      <c r="I978" s="59">
        <f>SUM(I975:I977)</f>
        <v>8.3930000000000007</v>
      </c>
      <c r="J978" s="60">
        <f>SUM(J975:J977)</f>
        <v>50.893000000000001</v>
      </c>
    </row>
    <row r="979" spans="1:10" ht="12.75">
      <c r="A979" s="469" t="s">
        <v>1052</v>
      </c>
      <c r="B979" s="1027" t="s">
        <v>1666</v>
      </c>
      <c r="C979" s="1028"/>
      <c r="D979" s="1028"/>
      <c r="E979" s="457"/>
      <c r="F979" s="457"/>
      <c r="G979" s="457"/>
      <c r="H979" s="457"/>
      <c r="I979" s="457"/>
      <c r="J979" s="458"/>
    </row>
    <row r="980" spans="1:10" ht="12.75">
      <c r="A980" s="401"/>
      <c r="B980" s="401"/>
      <c r="C980" s="401"/>
      <c r="D980" s="401"/>
      <c r="E980" s="63"/>
      <c r="F980" s="63"/>
      <c r="G980" s="63"/>
      <c r="H980" s="63"/>
      <c r="I980" s="63"/>
      <c r="J980" s="63"/>
    </row>
    <row r="981" spans="1:10" ht="12.75">
      <c r="A981" s="463" t="s">
        <v>697</v>
      </c>
      <c r="B981" s="440"/>
      <c r="C981" s="438" t="s">
        <v>1674</v>
      </c>
      <c r="D981" s="110" t="s">
        <v>1632</v>
      </c>
      <c r="E981" s="376" t="s">
        <v>411</v>
      </c>
      <c r="F981" s="376" t="s">
        <v>692</v>
      </c>
      <c r="G981" s="376" t="s">
        <v>693</v>
      </c>
      <c r="H981" s="376" t="s">
        <v>694</v>
      </c>
      <c r="I981" s="376" t="s">
        <v>695</v>
      </c>
      <c r="J981" s="376" t="s">
        <v>696</v>
      </c>
    </row>
    <row r="982" spans="1:10" ht="12.75">
      <c r="A982" s="446" t="s">
        <v>699</v>
      </c>
      <c r="B982" s="432" t="s">
        <v>409</v>
      </c>
      <c r="C982" s="478" t="s">
        <v>1661</v>
      </c>
      <c r="D982" s="109" t="s">
        <v>1632</v>
      </c>
      <c r="E982" s="411" t="s">
        <v>737</v>
      </c>
      <c r="F982" s="62">
        <v>1</v>
      </c>
      <c r="G982" s="112">
        <v>27.65</v>
      </c>
      <c r="H982" s="52">
        <f>F982*G982</f>
        <v>27.65</v>
      </c>
      <c r="I982" s="53"/>
      <c r="J982" s="54">
        <f>F982*G982</f>
        <v>27.65</v>
      </c>
    </row>
    <row r="983" spans="1:10" ht="12.75">
      <c r="A983" s="446" t="s">
        <v>698</v>
      </c>
      <c r="B983" s="432" t="s">
        <v>406</v>
      </c>
      <c r="C983" s="441">
        <v>88247</v>
      </c>
      <c r="D983" s="447" t="s">
        <v>746</v>
      </c>
      <c r="E983" s="432" t="s">
        <v>740</v>
      </c>
      <c r="F983" s="64">
        <v>0.52</v>
      </c>
      <c r="G983" s="483">
        <v>26.96</v>
      </c>
      <c r="H983" s="55"/>
      <c r="I983" s="56">
        <f>F983*G983</f>
        <v>14.019200000000001</v>
      </c>
      <c r="J983" s="57">
        <f>F983*G983</f>
        <v>14.019200000000001</v>
      </c>
    </row>
    <row r="984" spans="1:10" ht="12.75">
      <c r="A984" s="446" t="s">
        <v>698</v>
      </c>
      <c r="B984" s="432" t="s">
        <v>406</v>
      </c>
      <c r="C984" s="441">
        <v>88264</v>
      </c>
      <c r="D984" s="447" t="s">
        <v>747</v>
      </c>
      <c r="E984" s="432" t="s">
        <v>740</v>
      </c>
      <c r="F984" s="64">
        <v>0.52</v>
      </c>
      <c r="G984" s="483">
        <v>32.99</v>
      </c>
      <c r="H984" s="55"/>
      <c r="I984" s="56">
        <f>F984*G984</f>
        <v>17.154800000000002</v>
      </c>
      <c r="J984" s="57">
        <f>F984*G984</f>
        <v>17.154800000000002</v>
      </c>
    </row>
    <row r="985" spans="1:10" ht="12.75">
      <c r="A985" s="449"/>
      <c r="B985" s="469"/>
      <c r="C985" s="450"/>
      <c r="D985" s="451" t="s">
        <v>696</v>
      </c>
      <c r="E985" s="470"/>
      <c r="F985" s="61"/>
      <c r="G985" s="58"/>
      <c r="H985" s="59">
        <f>SUM(H982:H984)</f>
        <v>27.65</v>
      </c>
      <c r="I985" s="59">
        <f>SUM(I982:I984)</f>
        <v>31.174000000000003</v>
      </c>
      <c r="J985" s="60">
        <f>SUM(J982:J984)</f>
        <v>58.824000000000005</v>
      </c>
    </row>
    <row r="986" spans="1:10" ht="12.75">
      <c r="A986" s="469" t="s">
        <v>1052</v>
      </c>
      <c r="B986" s="1027" t="s">
        <v>1244</v>
      </c>
      <c r="C986" s="1028"/>
      <c r="D986" s="1028"/>
      <c r="E986" s="457"/>
      <c r="F986" s="457"/>
      <c r="G986" s="457"/>
      <c r="H986" s="457"/>
      <c r="I986" s="457"/>
      <c r="J986" s="458"/>
    </row>
    <row r="987" spans="1:10" ht="12.75">
      <c r="A987" s="401"/>
      <c r="B987" s="401"/>
      <c r="C987" s="401"/>
      <c r="D987" s="401"/>
      <c r="E987" s="63"/>
      <c r="F987" s="63"/>
      <c r="G987" s="63"/>
      <c r="H987" s="63"/>
      <c r="I987" s="63"/>
      <c r="J987" s="63"/>
    </row>
    <row r="988" spans="1:10" ht="12.75">
      <c r="A988" s="463" t="s">
        <v>697</v>
      </c>
      <c r="B988" s="440"/>
      <c r="C988" s="438" t="s">
        <v>1675</v>
      </c>
      <c r="D988" s="110" t="s">
        <v>1633</v>
      </c>
      <c r="E988" s="376" t="s">
        <v>411</v>
      </c>
      <c r="F988" s="376" t="s">
        <v>692</v>
      </c>
      <c r="G988" s="376" t="s">
        <v>693</v>
      </c>
      <c r="H988" s="376" t="s">
        <v>694</v>
      </c>
      <c r="I988" s="376" t="s">
        <v>695</v>
      </c>
      <c r="J988" s="376" t="s">
        <v>696</v>
      </c>
    </row>
    <row r="989" spans="1:10" ht="12.75">
      <c r="A989" s="446" t="s">
        <v>699</v>
      </c>
      <c r="B989" s="432" t="s">
        <v>409</v>
      </c>
      <c r="C989" s="478" t="s">
        <v>1661</v>
      </c>
      <c r="D989" s="109" t="s">
        <v>1633</v>
      </c>
      <c r="E989" s="411" t="s">
        <v>737</v>
      </c>
      <c r="F989" s="62">
        <v>1</v>
      </c>
      <c r="G989" s="112">
        <v>4.12</v>
      </c>
      <c r="H989" s="52">
        <f>F989*G989</f>
        <v>4.12</v>
      </c>
      <c r="I989" s="53"/>
      <c r="J989" s="54">
        <f>F989*G989</f>
        <v>4.12</v>
      </c>
    </row>
    <row r="990" spans="1:10" ht="12.75">
      <c r="A990" s="446" t="s">
        <v>698</v>
      </c>
      <c r="B990" s="432" t="s">
        <v>406</v>
      </c>
      <c r="C990" s="441">
        <v>88247</v>
      </c>
      <c r="D990" s="447" t="s">
        <v>746</v>
      </c>
      <c r="E990" s="432" t="s">
        <v>740</v>
      </c>
      <c r="F990" s="64">
        <v>0.2</v>
      </c>
      <c r="G990" s="483">
        <v>26.96</v>
      </c>
      <c r="H990" s="55"/>
      <c r="I990" s="56">
        <f>F990*G990</f>
        <v>5.3920000000000003</v>
      </c>
      <c r="J990" s="57">
        <f>F990*G990</f>
        <v>5.3920000000000003</v>
      </c>
    </row>
    <row r="991" spans="1:10" ht="12.75">
      <c r="A991" s="446" t="s">
        <v>698</v>
      </c>
      <c r="B991" s="432" t="s">
        <v>406</v>
      </c>
      <c r="C991" s="441">
        <v>88264</v>
      </c>
      <c r="D991" s="447" t="s">
        <v>747</v>
      </c>
      <c r="E991" s="432" t="s">
        <v>740</v>
      </c>
      <c r="F991" s="64">
        <v>0.2</v>
      </c>
      <c r="G991" s="483">
        <v>32.99</v>
      </c>
      <c r="H991" s="55"/>
      <c r="I991" s="56">
        <f>F991*G991</f>
        <v>6.5980000000000008</v>
      </c>
      <c r="J991" s="57">
        <f>F991*G991</f>
        <v>6.5980000000000008</v>
      </c>
    </row>
    <row r="992" spans="1:10" ht="12.75">
      <c r="A992" s="449"/>
      <c r="B992" s="469"/>
      <c r="C992" s="450"/>
      <c r="D992" s="451" t="s">
        <v>696</v>
      </c>
      <c r="E992" s="470"/>
      <c r="F992" s="61"/>
      <c r="G992" s="58"/>
      <c r="H992" s="59">
        <f>SUM(H989:H991)</f>
        <v>4.12</v>
      </c>
      <c r="I992" s="59">
        <f>SUM(I989:I991)</f>
        <v>11.990000000000002</v>
      </c>
      <c r="J992" s="60">
        <f>SUM(J989:J991)</f>
        <v>16.11</v>
      </c>
    </row>
    <row r="993" spans="1:10" ht="12.75">
      <c r="A993" s="469" t="s">
        <v>1052</v>
      </c>
      <c r="B993" s="1027" t="s">
        <v>1668</v>
      </c>
      <c r="C993" s="1028"/>
      <c r="D993" s="1028"/>
      <c r="E993" s="457"/>
      <c r="F993" s="457"/>
      <c r="G993" s="457"/>
      <c r="H993" s="457"/>
      <c r="I993" s="457"/>
      <c r="J993" s="458"/>
    </row>
    <row r="994" spans="1:10" ht="12.75">
      <c r="A994" s="401"/>
      <c r="B994" s="401"/>
      <c r="C994" s="401"/>
      <c r="D994" s="401"/>
      <c r="E994" s="63"/>
      <c r="F994" s="63"/>
      <c r="G994" s="63"/>
      <c r="H994" s="63"/>
      <c r="I994" s="63"/>
      <c r="J994" s="63"/>
    </row>
    <row r="995" spans="1:10" ht="12.75">
      <c r="A995" s="463" t="s">
        <v>697</v>
      </c>
      <c r="B995" s="440"/>
      <c r="C995" s="438" t="s">
        <v>1676</v>
      </c>
      <c r="D995" s="498" t="s">
        <v>1634</v>
      </c>
      <c r="E995" s="376" t="s">
        <v>411</v>
      </c>
      <c r="F995" s="376" t="s">
        <v>692</v>
      </c>
      <c r="G995" s="376" t="s">
        <v>693</v>
      </c>
      <c r="H995" s="376" t="s">
        <v>694</v>
      </c>
      <c r="I995" s="376" t="s">
        <v>695</v>
      </c>
      <c r="J995" s="376" t="s">
        <v>696</v>
      </c>
    </row>
    <row r="996" spans="1:10" ht="12.75">
      <c r="A996" s="446" t="s">
        <v>699</v>
      </c>
      <c r="B996" s="432" t="s">
        <v>409</v>
      </c>
      <c r="C996" s="478" t="s">
        <v>1661</v>
      </c>
      <c r="D996" s="506" t="s">
        <v>1634</v>
      </c>
      <c r="E996" s="411" t="s">
        <v>737</v>
      </c>
      <c r="F996" s="62">
        <v>1</v>
      </c>
      <c r="G996" s="112">
        <v>1.49</v>
      </c>
      <c r="H996" s="52">
        <f>F996*G996</f>
        <v>1.49</v>
      </c>
      <c r="I996" s="53"/>
      <c r="J996" s="54">
        <f>F996*G996</f>
        <v>1.49</v>
      </c>
    </row>
    <row r="997" spans="1:10" ht="12.75">
      <c r="A997" s="446" t="s">
        <v>698</v>
      </c>
      <c r="B997" s="432" t="s">
        <v>406</v>
      </c>
      <c r="C997" s="441">
        <v>88247</v>
      </c>
      <c r="D997" s="447" t="s">
        <v>746</v>
      </c>
      <c r="E997" s="432" t="s">
        <v>740</v>
      </c>
      <c r="F997" s="111">
        <v>0.1</v>
      </c>
      <c r="G997" s="483">
        <v>26.96</v>
      </c>
      <c r="H997" s="55"/>
      <c r="I997" s="56">
        <f>F997*G997</f>
        <v>2.6960000000000002</v>
      </c>
      <c r="J997" s="57">
        <f>F997*G997</f>
        <v>2.6960000000000002</v>
      </c>
    </row>
    <row r="998" spans="1:10" ht="12.75">
      <c r="A998" s="446" t="s">
        <v>698</v>
      </c>
      <c r="B998" s="432" t="s">
        <v>406</v>
      </c>
      <c r="C998" s="441">
        <v>88264</v>
      </c>
      <c r="D998" s="447" t="s">
        <v>747</v>
      </c>
      <c r="E998" s="432" t="s">
        <v>740</v>
      </c>
      <c r="F998" s="111">
        <v>0.1</v>
      </c>
      <c r="G998" s="483">
        <v>32.99</v>
      </c>
      <c r="H998" s="55"/>
      <c r="I998" s="56">
        <f>F998*G998</f>
        <v>3.2990000000000004</v>
      </c>
      <c r="J998" s="57">
        <f>F998*G998</f>
        <v>3.2990000000000004</v>
      </c>
    </row>
    <row r="999" spans="1:10" ht="12.75">
      <c r="A999" s="449"/>
      <c r="B999" s="469"/>
      <c r="C999" s="450"/>
      <c r="D999" s="451" t="s">
        <v>696</v>
      </c>
      <c r="E999" s="470"/>
      <c r="F999" s="61"/>
      <c r="G999" s="58"/>
      <c r="H999" s="59">
        <f>SUM(H996:H998)</f>
        <v>1.49</v>
      </c>
      <c r="I999" s="59">
        <f>SUM(I996:I998)</f>
        <v>5.995000000000001</v>
      </c>
      <c r="J999" s="60">
        <f>SUM(J996:J998)</f>
        <v>7.4850000000000003</v>
      </c>
    </row>
    <row r="1000" spans="1:10" ht="12.75">
      <c r="A1000" s="469" t="s">
        <v>1052</v>
      </c>
      <c r="B1000" s="1027" t="s">
        <v>1677</v>
      </c>
      <c r="C1000" s="1028"/>
      <c r="D1000" s="1028"/>
      <c r="E1000" s="457"/>
      <c r="F1000" s="457"/>
      <c r="G1000" s="457"/>
      <c r="H1000" s="457"/>
      <c r="I1000" s="457"/>
      <c r="J1000" s="458"/>
    </row>
    <row r="1001" spans="1:10" ht="12.75">
      <c r="A1001" s="401"/>
      <c r="B1001" s="401"/>
      <c r="C1001" s="401"/>
      <c r="D1001" s="401"/>
      <c r="E1001" s="63"/>
      <c r="F1001" s="63"/>
      <c r="G1001" s="63"/>
      <c r="H1001" s="63"/>
      <c r="I1001" s="63"/>
      <c r="J1001" s="63"/>
    </row>
    <row r="1002" spans="1:10" ht="12.75">
      <c r="A1002" s="463" t="s">
        <v>697</v>
      </c>
      <c r="B1002" s="440"/>
      <c r="C1002" s="438" t="s">
        <v>1678</v>
      </c>
      <c r="D1002" s="110" t="s">
        <v>1637</v>
      </c>
      <c r="E1002" s="376" t="s">
        <v>411</v>
      </c>
      <c r="F1002" s="376" t="s">
        <v>692</v>
      </c>
      <c r="G1002" s="376" t="s">
        <v>693</v>
      </c>
      <c r="H1002" s="376" t="s">
        <v>694</v>
      </c>
      <c r="I1002" s="376" t="s">
        <v>695</v>
      </c>
      <c r="J1002" s="376" t="s">
        <v>696</v>
      </c>
    </row>
    <row r="1003" spans="1:10" ht="12.75">
      <c r="A1003" s="446" t="s">
        <v>699</v>
      </c>
      <c r="B1003" s="432" t="s">
        <v>409</v>
      </c>
      <c r="C1003" s="478" t="s">
        <v>1661</v>
      </c>
      <c r="D1003" s="109" t="s">
        <v>1637</v>
      </c>
      <c r="E1003" s="411" t="s">
        <v>737</v>
      </c>
      <c r="F1003" s="62">
        <v>1</v>
      </c>
      <c r="G1003" s="112">
        <v>10.09</v>
      </c>
      <c r="H1003" s="52">
        <f>F1003*G1003</f>
        <v>10.09</v>
      </c>
      <c r="I1003" s="53"/>
      <c r="J1003" s="54">
        <f>F1003*G1003</f>
        <v>10.09</v>
      </c>
    </row>
    <row r="1004" spans="1:10" ht="12.75">
      <c r="A1004" s="446" t="s">
        <v>698</v>
      </c>
      <c r="B1004" s="432" t="s">
        <v>406</v>
      </c>
      <c r="C1004" s="441">
        <v>88247</v>
      </c>
      <c r="D1004" s="447" t="s">
        <v>746</v>
      </c>
      <c r="E1004" s="432" t="s">
        <v>740</v>
      </c>
      <c r="F1004" s="111">
        <v>2.3E-2</v>
      </c>
      <c r="G1004" s="483">
        <v>26.96</v>
      </c>
      <c r="H1004" s="55"/>
      <c r="I1004" s="56">
        <f>F1004*G1004</f>
        <v>0.62007999999999996</v>
      </c>
      <c r="J1004" s="57">
        <f>F1004*G1004</f>
        <v>0.62007999999999996</v>
      </c>
    </row>
    <row r="1005" spans="1:10" ht="12.75">
      <c r="A1005" s="446" t="s">
        <v>698</v>
      </c>
      <c r="B1005" s="432" t="s">
        <v>406</v>
      </c>
      <c r="C1005" s="441">
        <v>88264</v>
      </c>
      <c r="D1005" s="447" t="s">
        <v>747</v>
      </c>
      <c r="E1005" s="432" t="s">
        <v>740</v>
      </c>
      <c r="F1005" s="111">
        <v>2.3E-2</v>
      </c>
      <c r="G1005" s="483">
        <v>32.99</v>
      </c>
      <c r="H1005" s="55"/>
      <c r="I1005" s="56">
        <f>F1005*G1005</f>
        <v>0.75877000000000006</v>
      </c>
      <c r="J1005" s="57">
        <f>F1005*G1005</f>
        <v>0.75877000000000006</v>
      </c>
    </row>
    <row r="1006" spans="1:10" ht="12.75">
      <c r="A1006" s="449"/>
      <c r="B1006" s="469"/>
      <c r="C1006" s="450"/>
      <c r="D1006" s="451" t="s">
        <v>696</v>
      </c>
      <c r="E1006" s="470"/>
      <c r="F1006" s="61"/>
      <c r="G1006" s="58"/>
      <c r="H1006" s="59">
        <f>SUM(H1003:H1005)</f>
        <v>10.09</v>
      </c>
      <c r="I1006" s="59">
        <f>SUM(I1003:I1005)</f>
        <v>1.3788499999999999</v>
      </c>
      <c r="J1006" s="60">
        <f>SUM(J1003:J1005)</f>
        <v>11.46885</v>
      </c>
    </row>
    <row r="1007" spans="1:10" ht="12.75">
      <c r="A1007" s="469" t="s">
        <v>1052</v>
      </c>
      <c r="B1007" s="1027" t="s">
        <v>1679</v>
      </c>
      <c r="C1007" s="1028"/>
      <c r="D1007" s="1028"/>
      <c r="E1007" s="457"/>
      <c r="F1007" s="457"/>
      <c r="G1007" s="457"/>
      <c r="H1007" s="457"/>
      <c r="I1007" s="457"/>
      <c r="J1007" s="458"/>
    </row>
    <row r="1008" spans="1:10" ht="12.75">
      <c r="A1008" s="401"/>
      <c r="B1008" s="401"/>
      <c r="C1008" s="401"/>
      <c r="D1008" s="401"/>
      <c r="E1008" s="63"/>
      <c r="F1008" s="63"/>
      <c r="G1008" s="63"/>
      <c r="H1008" s="63"/>
      <c r="I1008" s="63"/>
      <c r="J1008" s="63"/>
    </row>
    <row r="1009" spans="1:10" ht="12.75">
      <c r="A1009" s="463" t="s">
        <v>697</v>
      </c>
      <c r="B1009" s="440"/>
      <c r="C1009" s="438" t="s">
        <v>1680</v>
      </c>
      <c r="D1009" s="110" t="s">
        <v>1636</v>
      </c>
      <c r="E1009" s="376" t="s">
        <v>411</v>
      </c>
      <c r="F1009" s="376" t="s">
        <v>692</v>
      </c>
      <c r="G1009" s="376" t="s">
        <v>693</v>
      </c>
      <c r="H1009" s="376" t="s">
        <v>694</v>
      </c>
      <c r="I1009" s="376" t="s">
        <v>695</v>
      </c>
      <c r="J1009" s="376" t="s">
        <v>696</v>
      </c>
    </row>
    <row r="1010" spans="1:10" ht="12.75">
      <c r="A1010" s="446" t="s">
        <v>699</v>
      </c>
      <c r="B1010" s="432" t="s">
        <v>409</v>
      </c>
      <c r="C1010" s="478" t="s">
        <v>1661</v>
      </c>
      <c r="D1010" s="110" t="s">
        <v>1636</v>
      </c>
      <c r="E1010" s="411" t="s">
        <v>737</v>
      </c>
      <c r="F1010" s="62">
        <v>1</v>
      </c>
      <c r="G1010" s="112">
        <v>5.2</v>
      </c>
      <c r="H1010" s="52">
        <f>F1010*G1010</f>
        <v>5.2</v>
      </c>
      <c r="I1010" s="53"/>
      <c r="J1010" s="54">
        <f>F1010*G1010</f>
        <v>5.2</v>
      </c>
    </row>
    <row r="1011" spans="1:10" ht="12.75">
      <c r="A1011" s="446" t="s">
        <v>698</v>
      </c>
      <c r="B1011" s="432" t="s">
        <v>406</v>
      </c>
      <c r="C1011" s="441">
        <v>88247</v>
      </c>
      <c r="D1011" s="447" t="s">
        <v>746</v>
      </c>
      <c r="E1011" s="432" t="s">
        <v>740</v>
      </c>
      <c r="F1011" s="111">
        <v>2.3E-2</v>
      </c>
      <c r="G1011" s="483">
        <v>26.96</v>
      </c>
      <c r="H1011" s="55"/>
      <c r="I1011" s="56">
        <f>F1011*G1011</f>
        <v>0.62007999999999996</v>
      </c>
      <c r="J1011" s="57">
        <f>F1011*G1011</f>
        <v>0.62007999999999996</v>
      </c>
    </row>
    <row r="1012" spans="1:10" ht="12.75">
      <c r="A1012" s="446" t="s">
        <v>698</v>
      </c>
      <c r="B1012" s="432" t="s">
        <v>406</v>
      </c>
      <c r="C1012" s="441">
        <v>88264</v>
      </c>
      <c r="D1012" s="447" t="s">
        <v>747</v>
      </c>
      <c r="E1012" s="432" t="s">
        <v>740</v>
      </c>
      <c r="F1012" s="111">
        <v>2.3E-2</v>
      </c>
      <c r="G1012" s="483">
        <v>32.99</v>
      </c>
      <c r="H1012" s="55"/>
      <c r="I1012" s="56">
        <f>F1012*G1012</f>
        <v>0.75877000000000006</v>
      </c>
      <c r="J1012" s="57">
        <f>F1012*G1012</f>
        <v>0.75877000000000006</v>
      </c>
    </row>
    <row r="1013" spans="1:10" ht="12.75">
      <c r="A1013" s="449"/>
      <c r="B1013" s="469"/>
      <c r="C1013" s="450"/>
      <c r="D1013" s="451" t="s">
        <v>696</v>
      </c>
      <c r="E1013" s="470"/>
      <c r="F1013" s="61"/>
      <c r="G1013" s="58"/>
      <c r="H1013" s="59">
        <f>SUM(H1010:H1012)</f>
        <v>5.2</v>
      </c>
      <c r="I1013" s="59">
        <f>SUM(I1010:I1012)</f>
        <v>1.3788499999999999</v>
      </c>
      <c r="J1013" s="60">
        <f>SUM(J1010:J1012)</f>
        <v>6.5788500000000001</v>
      </c>
    </row>
    <row r="1014" spans="1:10" ht="12.75">
      <c r="A1014" s="469" t="s">
        <v>1052</v>
      </c>
      <c r="B1014" s="1027" t="s">
        <v>1679</v>
      </c>
      <c r="C1014" s="1028"/>
      <c r="D1014" s="1028"/>
      <c r="E1014" s="457"/>
      <c r="F1014" s="457"/>
      <c r="G1014" s="457"/>
      <c r="H1014" s="457"/>
      <c r="I1014" s="457"/>
      <c r="J1014" s="458"/>
    </row>
    <row r="1015" spans="1:10" ht="12.75">
      <c r="A1015" s="401"/>
      <c r="B1015" s="401"/>
      <c r="C1015" s="401"/>
      <c r="D1015" s="401"/>
      <c r="E1015" s="63"/>
      <c r="F1015" s="63"/>
      <c r="G1015" s="63"/>
      <c r="H1015" s="63"/>
      <c r="I1015" s="63"/>
      <c r="J1015" s="63"/>
    </row>
    <row r="1016" spans="1:10" ht="12.75">
      <c r="A1016" s="463" t="s">
        <v>697</v>
      </c>
      <c r="B1016" s="440"/>
      <c r="C1016" s="438" t="s">
        <v>1681</v>
      </c>
      <c r="D1016" s="110" t="s">
        <v>1638</v>
      </c>
      <c r="E1016" s="376" t="s">
        <v>411</v>
      </c>
      <c r="F1016" s="376" t="s">
        <v>692</v>
      </c>
      <c r="G1016" s="376" t="s">
        <v>693</v>
      </c>
      <c r="H1016" s="376" t="s">
        <v>694</v>
      </c>
      <c r="I1016" s="376" t="s">
        <v>695</v>
      </c>
      <c r="J1016" s="376" t="s">
        <v>696</v>
      </c>
    </row>
    <row r="1017" spans="1:10" ht="12.75">
      <c r="A1017" s="446" t="s">
        <v>699</v>
      </c>
      <c r="B1017" s="432" t="s">
        <v>409</v>
      </c>
      <c r="C1017" s="478" t="s">
        <v>1661</v>
      </c>
      <c r="D1017" s="110" t="s">
        <v>1638</v>
      </c>
      <c r="E1017" s="411" t="s">
        <v>737</v>
      </c>
      <c r="F1017" s="62">
        <v>1</v>
      </c>
      <c r="G1017" s="112">
        <v>2.36</v>
      </c>
      <c r="H1017" s="52">
        <f>F1017*G1017</f>
        <v>2.36</v>
      </c>
      <c r="I1017" s="53"/>
      <c r="J1017" s="54">
        <f>F1017*G1017</f>
        <v>2.36</v>
      </c>
    </row>
    <row r="1018" spans="1:10" ht="12.75">
      <c r="A1018" s="446" t="s">
        <v>698</v>
      </c>
      <c r="B1018" s="432" t="s">
        <v>406</v>
      </c>
      <c r="C1018" s="441">
        <v>88247</v>
      </c>
      <c r="D1018" s="447" t="s">
        <v>746</v>
      </c>
      <c r="E1018" s="432" t="s">
        <v>740</v>
      </c>
      <c r="F1018" s="111">
        <v>2.3E-2</v>
      </c>
      <c r="G1018" s="483">
        <v>26.96</v>
      </c>
      <c r="H1018" s="55"/>
      <c r="I1018" s="56">
        <f>F1018*G1018</f>
        <v>0.62007999999999996</v>
      </c>
      <c r="J1018" s="57">
        <f>F1018*G1018</f>
        <v>0.62007999999999996</v>
      </c>
    </row>
    <row r="1019" spans="1:10" ht="12.75">
      <c r="A1019" s="446" t="s">
        <v>698</v>
      </c>
      <c r="B1019" s="432" t="s">
        <v>406</v>
      </c>
      <c r="C1019" s="441">
        <v>88264</v>
      </c>
      <c r="D1019" s="447" t="s">
        <v>747</v>
      </c>
      <c r="E1019" s="432" t="s">
        <v>740</v>
      </c>
      <c r="F1019" s="111">
        <v>2.3E-2</v>
      </c>
      <c r="G1019" s="483">
        <v>32.99</v>
      </c>
      <c r="H1019" s="55"/>
      <c r="I1019" s="56">
        <f>F1019*G1019</f>
        <v>0.75877000000000006</v>
      </c>
      <c r="J1019" s="57">
        <f>F1019*G1019</f>
        <v>0.75877000000000006</v>
      </c>
    </row>
    <row r="1020" spans="1:10" ht="12.75">
      <c r="A1020" s="449"/>
      <c r="B1020" s="469"/>
      <c r="C1020" s="450"/>
      <c r="D1020" s="451" t="s">
        <v>696</v>
      </c>
      <c r="E1020" s="470"/>
      <c r="F1020" s="61"/>
      <c r="G1020" s="58"/>
      <c r="H1020" s="59">
        <f>SUM(H1017:H1019)</f>
        <v>2.36</v>
      </c>
      <c r="I1020" s="59">
        <f>SUM(I1017:I1019)</f>
        <v>1.3788499999999999</v>
      </c>
      <c r="J1020" s="60">
        <f>SUM(J1017:J1019)</f>
        <v>3.7388500000000002</v>
      </c>
    </row>
    <row r="1021" spans="1:10" ht="12.75">
      <c r="A1021" s="469" t="s">
        <v>1052</v>
      </c>
      <c r="B1021" s="1027" t="s">
        <v>1682</v>
      </c>
      <c r="C1021" s="1028"/>
      <c r="D1021" s="1028"/>
      <c r="E1021" s="457"/>
      <c r="F1021" s="457"/>
      <c r="G1021" s="457"/>
      <c r="H1021" s="457"/>
      <c r="I1021" s="457"/>
      <c r="J1021" s="458"/>
    </row>
    <row r="1022" spans="1:10" ht="12.75">
      <c r="A1022" s="401"/>
      <c r="B1022" s="401"/>
      <c r="C1022" s="401"/>
      <c r="D1022" s="401"/>
      <c r="E1022" s="63"/>
      <c r="F1022" s="63"/>
      <c r="G1022" s="63"/>
      <c r="H1022" s="63"/>
      <c r="I1022" s="63"/>
      <c r="J1022" s="63"/>
    </row>
    <row r="1023" spans="1:10" ht="25.5">
      <c r="A1023" s="463" t="s">
        <v>697</v>
      </c>
      <c r="B1023" s="440"/>
      <c r="C1023" s="438" t="s">
        <v>1687</v>
      </c>
      <c r="D1023" s="110" t="s">
        <v>1639</v>
      </c>
      <c r="E1023" s="376" t="s">
        <v>411</v>
      </c>
      <c r="F1023" s="376" t="s">
        <v>692</v>
      </c>
      <c r="G1023" s="376" t="s">
        <v>693</v>
      </c>
      <c r="H1023" s="376" t="s">
        <v>694</v>
      </c>
      <c r="I1023" s="376" t="s">
        <v>695</v>
      </c>
      <c r="J1023" s="376" t="s">
        <v>696</v>
      </c>
    </row>
    <row r="1024" spans="1:10" ht="12.75">
      <c r="A1024" s="446" t="s">
        <v>819</v>
      </c>
      <c r="B1024" s="432" t="s">
        <v>409</v>
      </c>
      <c r="C1024" s="478">
        <v>41898</v>
      </c>
      <c r="D1024" s="109" t="s">
        <v>1639</v>
      </c>
      <c r="E1024" s="411" t="s">
        <v>737</v>
      </c>
      <c r="F1024" s="62">
        <v>1</v>
      </c>
      <c r="G1024" s="112">
        <v>21.75</v>
      </c>
      <c r="H1024" s="52">
        <f>F1024*G1024</f>
        <v>21.75</v>
      </c>
      <c r="I1024" s="53"/>
      <c r="J1024" s="54">
        <f>F1024*G1024</f>
        <v>21.75</v>
      </c>
    </row>
    <row r="1025" spans="1:11" ht="12.75">
      <c r="A1025" s="446" t="s">
        <v>698</v>
      </c>
      <c r="B1025" s="432" t="s">
        <v>406</v>
      </c>
      <c r="C1025" s="441">
        <v>88247</v>
      </c>
      <c r="D1025" s="447" t="s">
        <v>746</v>
      </c>
      <c r="E1025" s="432" t="s">
        <v>740</v>
      </c>
      <c r="F1025" s="111">
        <v>0.2</v>
      </c>
      <c r="G1025" s="483">
        <v>26.96</v>
      </c>
      <c r="H1025" s="55"/>
      <c r="I1025" s="56">
        <f>F1025*G1025</f>
        <v>5.3920000000000003</v>
      </c>
      <c r="J1025" s="57">
        <f>F1025*G1025</f>
        <v>5.3920000000000003</v>
      </c>
    </row>
    <row r="1026" spans="1:11" ht="12.75">
      <c r="A1026" s="449"/>
      <c r="B1026" s="469"/>
      <c r="C1026" s="450"/>
      <c r="D1026" s="451" t="s">
        <v>696</v>
      </c>
      <c r="E1026" s="470"/>
      <c r="F1026" s="61"/>
      <c r="G1026" s="58"/>
      <c r="H1026" s="59">
        <f>SUM(H1024:H1025)</f>
        <v>21.75</v>
      </c>
      <c r="I1026" s="59">
        <f>SUM(I1024:I1025)</f>
        <v>5.3920000000000003</v>
      </c>
      <c r="J1026" s="60">
        <f>SUM(J1024:J1025)</f>
        <v>27.141999999999999</v>
      </c>
    </row>
    <row r="1027" spans="1:11" ht="12.75">
      <c r="A1027" s="469" t="s">
        <v>1052</v>
      </c>
      <c r="B1027" s="1027" t="s">
        <v>1688</v>
      </c>
      <c r="C1027" s="1028"/>
      <c r="D1027" s="1028"/>
      <c r="E1027" s="457"/>
      <c r="F1027" s="457"/>
      <c r="G1027" s="457"/>
      <c r="H1027" s="457"/>
      <c r="I1027" s="457"/>
      <c r="J1027" s="458"/>
    </row>
    <row r="1028" spans="1:11" ht="12.75">
      <c r="A1028" s="401"/>
      <c r="B1028" s="401"/>
      <c r="C1028" s="401"/>
      <c r="D1028" s="401"/>
      <c r="E1028" s="63"/>
      <c r="F1028" s="63"/>
      <c r="G1028" s="63"/>
      <c r="H1028" s="63"/>
      <c r="I1028" s="63"/>
      <c r="J1028" s="63"/>
    </row>
    <row r="1029" spans="1:11" ht="12.75">
      <c r="A1029" s="110" t="s">
        <v>697</v>
      </c>
      <c r="B1029" s="110"/>
      <c r="C1029" s="110" t="s">
        <v>2111</v>
      </c>
      <c r="D1029" s="110" t="s">
        <v>2146</v>
      </c>
      <c r="E1029" s="110" t="s">
        <v>421</v>
      </c>
      <c r="F1029" s="110" t="s">
        <v>692</v>
      </c>
      <c r="G1029" s="110" t="s">
        <v>693</v>
      </c>
      <c r="H1029" s="110" t="s">
        <v>694</v>
      </c>
      <c r="I1029" s="110" t="s">
        <v>695</v>
      </c>
      <c r="J1029" s="110" t="s">
        <v>696</v>
      </c>
    </row>
    <row r="1030" spans="1:11" ht="12.75">
      <c r="A1030" s="478" t="s">
        <v>698</v>
      </c>
      <c r="B1030" s="432" t="s">
        <v>406</v>
      </c>
      <c r="C1030" s="478">
        <v>88248</v>
      </c>
      <c r="D1030" s="447" t="s">
        <v>505</v>
      </c>
      <c r="E1030" s="478" t="s">
        <v>740</v>
      </c>
      <c r="F1030" s="478">
        <v>0.65800000000000003</v>
      </c>
      <c r="G1030" s="112">
        <v>26.14</v>
      </c>
      <c r="H1030" s="52"/>
      <c r="I1030" s="56">
        <f>G1030*F1030</f>
        <v>17.200120000000002</v>
      </c>
      <c r="J1030" s="54">
        <f>I1030</f>
        <v>17.200120000000002</v>
      </c>
    </row>
    <row r="1031" spans="1:11" ht="12.75">
      <c r="A1031" s="478" t="s">
        <v>698</v>
      </c>
      <c r="B1031" s="432" t="s">
        <v>406</v>
      </c>
      <c r="C1031" s="478">
        <v>88267</v>
      </c>
      <c r="D1031" s="447" t="s">
        <v>506</v>
      </c>
      <c r="E1031" s="478" t="s">
        <v>818</v>
      </c>
      <c r="F1031" s="478">
        <v>0.65800000000000003</v>
      </c>
      <c r="G1031" s="112">
        <v>32.130000000000003</v>
      </c>
      <c r="H1031" s="52"/>
      <c r="I1031" s="56">
        <f>G1031*F1031</f>
        <v>21.141540000000003</v>
      </c>
      <c r="J1031" s="54">
        <f>I1031</f>
        <v>21.141540000000003</v>
      </c>
    </row>
    <row r="1032" spans="1:11" ht="12.75">
      <c r="A1032" s="377" t="s">
        <v>698</v>
      </c>
      <c r="B1032" s="392" t="s">
        <v>409</v>
      </c>
      <c r="C1032" s="392">
        <v>3146</v>
      </c>
      <c r="D1032" s="575" t="s">
        <v>1332</v>
      </c>
      <c r="E1032" s="478" t="s">
        <v>13</v>
      </c>
      <c r="F1032" s="478">
        <v>0.3</v>
      </c>
      <c r="G1032" s="112">
        <f>3.2/10</f>
        <v>0.32</v>
      </c>
      <c r="H1032" s="52">
        <f>G1032*F1032</f>
        <v>9.6000000000000002E-2</v>
      </c>
      <c r="I1032" s="56"/>
      <c r="J1032" s="54">
        <f t="shared" ref="J1032:J1033" si="64">H1032</f>
        <v>9.6000000000000002E-2</v>
      </c>
    </row>
    <row r="1033" spans="1:11" ht="12.75">
      <c r="A1033" s="478" t="s">
        <v>698</v>
      </c>
      <c r="B1033" s="478" t="s">
        <v>409</v>
      </c>
      <c r="C1033" s="478">
        <v>1370</v>
      </c>
      <c r="D1033" s="447" t="s">
        <v>2112</v>
      </c>
      <c r="E1033" s="478" t="s">
        <v>13</v>
      </c>
      <c r="F1033" s="478">
        <v>1</v>
      </c>
      <c r="G1033" s="112">
        <v>102.18</v>
      </c>
      <c r="H1033" s="52">
        <f>F1033*G1033</f>
        <v>102.18</v>
      </c>
      <c r="I1033" s="56"/>
      <c r="J1033" s="54">
        <f t="shared" si="64"/>
        <v>102.18</v>
      </c>
    </row>
    <row r="1034" spans="1:11" ht="12.75">
      <c r="A1034" s="400"/>
      <c r="B1034" s="404"/>
      <c r="C1034" s="404"/>
      <c r="D1034" s="405" t="s">
        <v>696</v>
      </c>
      <c r="E1034" s="546"/>
      <c r="F1034" s="547"/>
      <c r="G1034" s="548"/>
      <c r="H1034" s="408">
        <f>SUM(H1030:H1033)</f>
        <v>102.27600000000001</v>
      </c>
      <c r="I1034" s="386">
        <f>SUM(I1030:I1033)</f>
        <v>38.341660000000005</v>
      </c>
      <c r="J1034" s="386">
        <f>SUM(H1034:I1034)</f>
        <v>140.61766</v>
      </c>
    </row>
    <row r="1035" spans="1:11" ht="12.75">
      <c r="A1035" s="384" t="s">
        <v>1052</v>
      </c>
      <c r="B1035" s="1029" t="s">
        <v>1593</v>
      </c>
      <c r="C1035" s="1030"/>
      <c r="D1035" s="1030"/>
      <c r="E1035" s="549"/>
      <c r="F1035" s="549"/>
      <c r="G1035" s="549"/>
      <c r="H1035" s="549"/>
      <c r="I1035" s="549"/>
      <c r="J1035" s="410"/>
    </row>
    <row r="1037" spans="1:11" s="44" customFormat="1" ht="59.45" customHeight="1">
      <c r="A1037" s="463" t="s">
        <v>697</v>
      </c>
      <c r="B1037" s="440"/>
      <c r="C1037" s="438" t="s">
        <v>2319</v>
      </c>
      <c r="D1037" s="498" t="s">
        <v>2316</v>
      </c>
      <c r="E1037" s="440" t="s">
        <v>411</v>
      </c>
      <c r="F1037" s="417" t="s">
        <v>692</v>
      </c>
      <c r="G1037" s="417" t="s">
        <v>693</v>
      </c>
      <c r="H1037" s="417" t="s">
        <v>694</v>
      </c>
      <c r="I1037" s="417" t="s">
        <v>695</v>
      </c>
      <c r="J1037" s="424" t="s">
        <v>696</v>
      </c>
    </row>
    <row r="1038" spans="1:11" s="44" customFormat="1" ht="38.25">
      <c r="A1038" s="446" t="s">
        <v>699</v>
      </c>
      <c r="B1038" s="465" t="s">
        <v>409</v>
      </c>
      <c r="C1038" s="478" t="s">
        <v>2420</v>
      </c>
      <c r="D1038" s="579" t="s">
        <v>2320</v>
      </c>
      <c r="E1038" s="411" t="s">
        <v>737</v>
      </c>
      <c r="F1038" s="62">
        <v>1</v>
      </c>
      <c r="G1038" s="112">
        <v>4150</v>
      </c>
      <c r="H1038" s="52">
        <f>F1038*G1038</f>
        <v>4150</v>
      </c>
      <c r="I1038" s="53"/>
      <c r="J1038" s="54">
        <f>F1038*G1038</f>
        <v>4150</v>
      </c>
    </row>
    <row r="1039" spans="1:11" s="44" customFormat="1" ht="13.5" customHeight="1">
      <c r="A1039" s="446" t="s">
        <v>698</v>
      </c>
      <c r="B1039" s="432" t="s">
        <v>406</v>
      </c>
      <c r="C1039" s="441">
        <v>88247</v>
      </c>
      <c r="D1039" s="447" t="s">
        <v>2343</v>
      </c>
      <c r="E1039" s="432" t="s">
        <v>740</v>
      </c>
      <c r="F1039" s="64">
        <v>2</v>
      </c>
      <c r="G1039" s="503">
        <v>26.96</v>
      </c>
      <c r="H1039" s="55"/>
      <c r="I1039" s="56">
        <f>F1039*G1039</f>
        <v>53.92</v>
      </c>
      <c r="J1039" s="57">
        <f>F1039*G1039</f>
        <v>53.92</v>
      </c>
      <c r="K1039" s="40"/>
    </row>
    <row r="1040" spans="1:11" s="44" customFormat="1" ht="13.5" customHeight="1">
      <c r="A1040" s="446" t="s">
        <v>698</v>
      </c>
      <c r="B1040" s="432" t="s">
        <v>406</v>
      </c>
      <c r="C1040" s="441">
        <v>88264</v>
      </c>
      <c r="D1040" s="447" t="s">
        <v>2342</v>
      </c>
      <c r="E1040" s="432" t="s">
        <v>740</v>
      </c>
      <c r="F1040" s="64">
        <v>2</v>
      </c>
      <c r="G1040" s="503">
        <v>32.99</v>
      </c>
      <c r="H1040" s="55"/>
      <c r="I1040" s="56">
        <f>F1040*G1040</f>
        <v>65.98</v>
      </c>
      <c r="J1040" s="57">
        <f>F1040*G1040</f>
        <v>65.98</v>
      </c>
      <c r="K1040" s="40"/>
    </row>
    <row r="1041" spans="1:10" s="44" customFormat="1" ht="13.5" customHeight="1">
      <c r="A1041" s="449"/>
      <c r="B1041" s="469"/>
      <c r="C1041" s="450"/>
      <c r="D1041" s="451" t="s">
        <v>696</v>
      </c>
      <c r="E1041" s="470"/>
      <c r="F1041" s="61"/>
      <c r="G1041" s="58"/>
      <c r="H1041" s="59">
        <f>SUM(H1038:H1040)</f>
        <v>4150</v>
      </c>
      <c r="I1041" s="59">
        <f>SUM(I1038:I1040)</f>
        <v>119.9</v>
      </c>
      <c r="J1041" s="60">
        <f>SUM(J1038:J1040)</f>
        <v>4269.8999999999996</v>
      </c>
    </row>
    <row r="1042" spans="1:10" s="44" customFormat="1" ht="13.5" customHeight="1">
      <c r="A1042" s="469" t="s">
        <v>1052</v>
      </c>
      <c r="B1042" s="1027" t="s">
        <v>1288</v>
      </c>
      <c r="C1042" s="1028"/>
      <c r="D1042" s="1028"/>
      <c r="E1042" s="457"/>
      <c r="F1042" s="457"/>
      <c r="G1042" s="457"/>
      <c r="H1042" s="457"/>
      <c r="I1042" s="457"/>
      <c r="J1042" s="458"/>
    </row>
    <row r="1044" spans="1:10" ht="38.25">
      <c r="A1044" s="463" t="s">
        <v>697</v>
      </c>
      <c r="B1044" s="440"/>
      <c r="C1044" s="438" t="s">
        <v>2322</v>
      </c>
      <c r="D1044" s="498" t="s">
        <v>2323</v>
      </c>
      <c r="E1044" s="440" t="s">
        <v>411</v>
      </c>
      <c r="F1044" s="417" t="s">
        <v>692</v>
      </c>
      <c r="G1044" s="417" t="s">
        <v>693</v>
      </c>
      <c r="H1044" s="417" t="s">
        <v>694</v>
      </c>
      <c r="I1044" s="417" t="s">
        <v>695</v>
      </c>
      <c r="J1044" s="424" t="s">
        <v>696</v>
      </c>
    </row>
    <row r="1045" spans="1:10" ht="38.25">
      <c r="A1045" s="446" t="s">
        <v>699</v>
      </c>
      <c r="B1045" s="465" t="s">
        <v>409</v>
      </c>
      <c r="C1045" s="478" t="s">
        <v>2420</v>
      </c>
      <c r="D1045" s="579" t="s">
        <v>2324</v>
      </c>
      <c r="E1045" s="411" t="s">
        <v>737</v>
      </c>
      <c r="F1045" s="62">
        <v>1</v>
      </c>
      <c r="G1045" s="112">
        <v>5300</v>
      </c>
      <c r="H1045" s="52">
        <f>F1045*G1045</f>
        <v>5300</v>
      </c>
      <c r="I1045" s="53"/>
      <c r="J1045" s="54">
        <f>F1045*G1045</f>
        <v>5300</v>
      </c>
    </row>
    <row r="1046" spans="1:10" ht="12.75">
      <c r="A1046" s="446" t="s">
        <v>698</v>
      </c>
      <c r="B1046" s="432" t="s">
        <v>406</v>
      </c>
      <c r="C1046" s="441">
        <v>88247</v>
      </c>
      <c r="D1046" s="447" t="s">
        <v>2343</v>
      </c>
      <c r="E1046" s="432" t="s">
        <v>740</v>
      </c>
      <c r="F1046" s="64">
        <v>2</v>
      </c>
      <c r="G1046" s="503">
        <v>26.96</v>
      </c>
      <c r="H1046" s="55"/>
      <c r="I1046" s="56">
        <f>F1046*G1046</f>
        <v>53.92</v>
      </c>
      <c r="J1046" s="57">
        <f>F1046*G1046</f>
        <v>53.92</v>
      </c>
    </row>
    <row r="1047" spans="1:10" ht="12.75">
      <c r="A1047" s="446" t="s">
        <v>698</v>
      </c>
      <c r="B1047" s="432" t="s">
        <v>406</v>
      </c>
      <c r="C1047" s="441">
        <v>88264</v>
      </c>
      <c r="D1047" s="447" t="s">
        <v>2342</v>
      </c>
      <c r="E1047" s="432" t="s">
        <v>740</v>
      </c>
      <c r="F1047" s="64">
        <v>2</v>
      </c>
      <c r="G1047" s="503">
        <v>32.99</v>
      </c>
      <c r="H1047" s="55"/>
      <c r="I1047" s="56">
        <f>F1047*G1047</f>
        <v>65.98</v>
      </c>
      <c r="J1047" s="57">
        <f>F1047*G1047</f>
        <v>65.98</v>
      </c>
    </row>
    <row r="1048" spans="1:10" ht="12.75">
      <c r="A1048" s="449"/>
      <c r="B1048" s="469"/>
      <c r="C1048" s="450"/>
      <c r="D1048" s="451" t="s">
        <v>696</v>
      </c>
      <c r="E1048" s="470"/>
      <c r="F1048" s="61"/>
      <c r="G1048" s="58"/>
      <c r="H1048" s="59">
        <f>SUM(H1045:H1047)</f>
        <v>5300</v>
      </c>
      <c r="I1048" s="59">
        <f>SUM(I1045:I1047)</f>
        <v>119.9</v>
      </c>
      <c r="J1048" s="60">
        <f>SUM(J1045:J1047)</f>
        <v>5419.9</v>
      </c>
    </row>
    <row r="1049" spans="1:10" ht="12.75">
      <c r="A1049" s="469" t="s">
        <v>1052</v>
      </c>
      <c r="B1049" s="1027" t="s">
        <v>1288</v>
      </c>
      <c r="C1049" s="1028"/>
      <c r="D1049" s="1028"/>
      <c r="E1049" s="457"/>
      <c r="F1049" s="457"/>
      <c r="G1049" s="457"/>
      <c r="H1049" s="457"/>
      <c r="I1049" s="457"/>
      <c r="J1049" s="458"/>
    </row>
    <row r="1051" spans="1:10" ht="38.25">
      <c r="A1051" s="463" t="s">
        <v>697</v>
      </c>
      <c r="B1051" s="440"/>
      <c r="C1051" s="438" t="s">
        <v>2325</v>
      </c>
      <c r="D1051" s="498" t="s">
        <v>2317</v>
      </c>
      <c r="E1051" s="440" t="s">
        <v>411</v>
      </c>
      <c r="F1051" s="417" t="s">
        <v>692</v>
      </c>
      <c r="G1051" s="417" t="s">
        <v>693</v>
      </c>
      <c r="H1051" s="417" t="s">
        <v>694</v>
      </c>
      <c r="I1051" s="417" t="s">
        <v>695</v>
      </c>
      <c r="J1051" s="424" t="s">
        <v>696</v>
      </c>
    </row>
    <row r="1052" spans="1:10" ht="25.5">
      <c r="A1052" s="446" t="s">
        <v>699</v>
      </c>
      <c r="B1052" s="465" t="s">
        <v>409</v>
      </c>
      <c r="C1052" s="478" t="s">
        <v>2420</v>
      </c>
      <c r="D1052" s="579" t="s">
        <v>2333</v>
      </c>
      <c r="E1052" s="411" t="s">
        <v>737</v>
      </c>
      <c r="F1052" s="62">
        <v>1</v>
      </c>
      <c r="G1052" s="112">
        <v>3800</v>
      </c>
      <c r="H1052" s="52">
        <f>F1052*G1052</f>
        <v>3800</v>
      </c>
      <c r="I1052" s="53"/>
      <c r="J1052" s="54">
        <f>F1052*G1052</f>
        <v>3800</v>
      </c>
    </row>
    <row r="1053" spans="1:10" ht="12.75">
      <c r="A1053" s="446" t="s">
        <v>698</v>
      </c>
      <c r="B1053" s="432" t="s">
        <v>406</v>
      </c>
      <c r="C1053" s="441">
        <v>88247</v>
      </c>
      <c r="D1053" s="447" t="s">
        <v>2343</v>
      </c>
      <c r="E1053" s="432" t="s">
        <v>740</v>
      </c>
      <c r="F1053" s="64">
        <v>2</v>
      </c>
      <c r="G1053" s="503">
        <v>26.96</v>
      </c>
      <c r="H1053" s="55"/>
      <c r="I1053" s="56">
        <f>F1053*G1053</f>
        <v>53.92</v>
      </c>
      <c r="J1053" s="57">
        <f>F1053*G1053</f>
        <v>53.92</v>
      </c>
    </row>
    <row r="1054" spans="1:10" ht="12.75">
      <c r="A1054" s="446" t="s">
        <v>698</v>
      </c>
      <c r="B1054" s="432" t="s">
        <v>406</v>
      </c>
      <c r="C1054" s="441">
        <v>88264</v>
      </c>
      <c r="D1054" s="447" t="s">
        <v>2342</v>
      </c>
      <c r="E1054" s="432" t="s">
        <v>740</v>
      </c>
      <c r="F1054" s="64">
        <v>2</v>
      </c>
      <c r="G1054" s="503">
        <v>32.99</v>
      </c>
      <c r="H1054" s="55"/>
      <c r="I1054" s="56">
        <f>F1054*G1054</f>
        <v>65.98</v>
      </c>
      <c r="J1054" s="57">
        <f>F1054*G1054</f>
        <v>65.98</v>
      </c>
    </row>
    <row r="1055" spans="1:10" ht="12.75">
      <c r="A1055" s="449"/>
      <c r="B1055" s="469"/>
      <c r="C1055" s="450"/>
      <c r="D1055" s="451" t="s">
        <v>696</v>
      </c>
      <c r="E1055" s="470"/>
      <c r="F1055" s="61"/>
      <c r="G1055" s="58"/>
      <c r="H1055" s="59">
        <f>SUM(H1052:H1054)</f>
        <v>3800</v>
      </c>
      <c r="I1055" s="59">
        <f>SUM(I1052:I1054)</f>
        <v>119.9</v>
      </c>
      <c r="J1055" s="60">
        <f>SUM(J1052:J1054)</f>
        <v>3919.9</v>
      </c>
    </row>
    <row r="1056" spans="1:10" ht="12.75">
      <c r="A1056" s="469" t="s">
        <v>1052</v>
      </c>
      <c r="B1056" s="1027" t="s">
        <v>1288</v>
      </c>
      <c r="C1056" s="1028"/>
      <c r="D1056" s="1028"/>
      <c r="E1056" s="457"/>
      <c r="F1056" s="457"/>
      <c r="G1056" s="457"/>
      <c r="H1056" s="457"/>
      <c r="I1056" s="457"/>
      <c r="J1056" s="458"/>
    </row>
    <row r="1058" spans="1:10" ht="38.25">
      <c r="A1058" s="463" t="s">
        <v>697</v>
      </c>
      <c r="B1058" s="440"/>
      <c r="C1058" s="438" t="s">
        <v>2326</v>
      </c>
      <c r="D1058" s="498" t="s">
        <v>2470</v>
      </c>
      <c r="E1058" s="440" t="s">
        <v>411</v>
      </c>
      <c r="F1058" s="417" t="s">
        <v>692</v>
      </c>
      <c r="G1058" s="417" t="s">
        <v>693</v>
      </c>
      <c r="H1058" s="417" t="s">
        <v>694</v>
      </c>
      <c r="I1058" s="417" t="s">
        <v>695</v>
      </c>
      <c r="J1058" s="424" t="s">
        <v>696</v>
      </c>
    </row>
    <row r="1059" spans="1:10" ht="25.5">
      <c r="A1059" s="446" t="s">
        <v>699</v>
      </c>
      <c r="B1059" s="465" t="s">
        <v>409</v>
      </c>
      <c r="C1059" s="478" t="s">
        <v>2420</v>
      </c>
      <c r="D1059" s="579" t="s">
        <v>2475</v>
      </c>
      <c r="E1059" s="411" t="s">
        <v>737</v>
      </c>
      <c r="F1059" s="62">
        <v>1</v>
      </c>
      <c r="G1059" s="112">
        <v>18526</v>
      </c>
      <c r="H1059" s="52">
        <f>F1059*G1059</f>
        <v>18526</v>
      </c>
      <c r="I1059" s="53"/>
      <c r="J1059" s="54">
        <f>F1059*G1059</f>
        <v>18526</v>
      </c>
    </row>
    <row r="1060" spans="1:10" ht="12.75">
      <c r="A1060" s="446" t="s">
        <v>698</v>
      </c>
      <c r="B1060" s="432" t="s">
        <v>406</v>
      </c>
      <c r="C1060" s="441">
        <v>88247</v>
      </c>
      <c r="D1060" s="447" t="s">
        <v>2343</v>
      </c>
      <c r="E1060" s="432" t="s">
        <v>740</v>
      </c>
      <c r="F1060" s="64">
        <v>2</v>
      </c>
      <c r="G1060" s="503">
        <v>26.96</v>
      </c>
      <c r="H1060" s="55"/>
      <c r="I1060" s="56">
        <f>F1060*G1060</f>
        <v>53.92</v>
      </c>
      <c r="J1060" s="57">
        <f>F1060*G1060</f>
        <v>53.92</v>
      </c>
    </row>
    <row r="1061" spans="1:10" ht="12.75">
      <c r="A1061" s="446" t="s">
        <v>698</v>
      </c>
      <c r="B1061" s="432" t="s">
        <v>406</v>
      </c>
      <c r="C1061" s="441">
        <v>88264</v>
      </c>
      <c r="D1061" s="447" t="s">
        <v>2342</v>
      </c>
      <c r="E1061" s="432" t="s">
        <v>740</v>
      </c>
      <c r="F1061" s="64">
        <v>2</v>
      </c>
      <c r="G1061" s="503">
        <v>32.99</v>
      </c>
      <c r="H1061" s="55"/>
      <c r="I1061" s="56">
        <f>F1061*G1061</f>
        <v>65.98</v>
      </c>
      <c r="J1061" s="57">
        <f>F1061*G1061</f>
        <v>65.98</v>
      </c>
    </row>
    <row r="1062" spans="1:10" ht="12.75">
      <c r="A1062" s="449"/>
      <c r="B1062" s="469"/>
      <c r="C1062" s="450"/>
      <c r="D1062" s="451" t="s">
        <v>696</v>
      </c>
      <c r="E1062" s="470"/>
      <c r="F1062" s="61"/>
      <c r="G1062" s="58"/>
      <c r="H1062" s="59">
        <f>SUM(H1059:H1061)</f>
        <v>18526</v>
      </c>
      <c r="I1062" s="59">
        <f>SUM(I1059:I1061)</f>
        <v>119.9</v>
      </c>
      <c r="J1062" s="60">
        <f>SUM(J1059:J1061)</f>
        <v>18645.899999999998</v>
      </c>
    </row>
    <row r="1063" spans="1:10" ht="12.75">
      <c r="A1063" s="469" t="s">
        <v>1052</v>
      </c>
      <c r="B1063" s="1027" t="s">
        <v>1288</v>
      </c>
      <c r="C1063" s="1028"/>
      <c r="D1063" s="1028"/>
      <c r="E1063" s="457"/>
      <c r="F1063" s="457"/>
      <c r="G1063" s="457"/>
      <c r="H1063" s="457"/>
      <c r="I1063" s="457"/>
      <c r="J1063" s="458"/>
    </row>
    <row r="1065" spans="1:10" ht="38.25">
      <c r="A1065" s="463" t="s">
        <v>697</v>
      </c>
      <c r="B1065" s="440"/>
      <c r="C1065" s="438" t="s">
        <v>2327</v>
      </c>
      <c r="D1065" s="498" t="s">
        <v>2471</v>
      </c>
      <c r="E1065" s="440" t="s">
        <v>411</v>
      </c>
      <c r="F1065" s="417" t="s">
        <v>692</v>
      </c>
      <c r="G1065" s="417" t="s">
        <v>693</v>
      </c>
      <c r="H1065" s="417" t="s">
        <v>694</v>
      </c>
      <c r="I1065" s="417" t="s">
        <v>695</v>
      </c>
      <c r="J1065" s="424" t="s">
        <v>696</v>
      </c>
    </row>
    <row r="1066" spans="1:10" ht="25.5">
      <c r="A1066" s="446" t="s">
        <v>699</v>
      </c>
      <c r="B1066" s="465" t="s">
        <v>409</v>
      </c>
      <c r="C1066" s="478" t="s">
        <v>2420</v>
      </c>
      <c r="D1066" s="579" t="s">
        <v>2476</v>
      </c>
      <c r="E1066" s="411" t="s">
        <v>737</v>
      </c>
      <c r="F1066" s="62">
        <v>1</v>
      </c>
      <c r="G1066" s="112">
        <v>18526</v>
      </c>
      <c r="H1066" s="52">
        <f>F1066*G1066</f>
        <v>18526</v>
      </c>
      <c r="I1066" s="53"/>
      <c r="J1066" s="54">
        <f>F1066*G1066</f>
        <v>18526</v>
      </c>
    </row>
    <row r="1067" spans="1:10" ht="12.75">
      <c r="A1067" s="446" t="s">
        <v>698</v>
      </c>
      <c r="B1067" s="432" t="s">
        <v>406</v>
      </c>
      <c r="C1067" s="441">
        <v>88247</v>
      </c>
      <c r="D1067" s="447" t="s">
        <v>2343</v>
      </c>
      <c r="E1067" s="432" t="s">
        <v>740</v>
      </c>
      <c r="F1067" s="64">
        <v>2</v>
      </c>
      <c r="G1067" s="503">
        <v>26.96</v>
      </c>
      <c r="H1067" s="55"/>
      <c r="I1067" s="56">
        <f>F1067*G1067</f>
        <v>53.92</v>
      </c>
      <c r="J1067" s="57">
        <f>F1067*G1067</f>
        <v>53.92</v>
      </c>
    </row>
    <row r="1068" spans="1:10" ht="12.75">
      <c r="A1068" s="446" t="s">
        <v>698</v>
      </c>
      <c r="B1068" s="432" t="s">
        <v>406</v>
      </c>
      <c r="C1068" s="441">
        <v>88264</v>
      </c>
      <c r="D1068" s="447" t="s">
        <v>2342</v>
      </c>
      <c r="E1068" s="432" t="s">
        <v>740</v>
      </c>
      <c r="F1068" s="64">
        <v>2</v>
      </c>
      <c r="G1068" s="503">
        <v>32.99</v>
      </c>
      <c r="H1068" s="55"/>
      <c r="I1068" s="56">
        <f>F1068*G1068</f>
        <v>65.98</v>
      </c>
      <c r="J1068" s="57">
        <f>F1068*G1068</f>
        <v>65.98</v>
      </c>
    </row>
    <row r="1069" spans="1:10" ht="12.75">
      <c r="A1069" s="449"/>
      <c r="B1069" s="469"/>
      <c r="C1069" s="450"/>
      <c r="D1069" s="451" t="s">
        <v>696</v>
      </c>
      <c r="E1069" s="470"/>
      <c r="F1069" s="61"/>
      <c r="G1069" s="58"/>
      <c r="H1069" s="59">
        <f>SUM(H1066:H1068)</f>
        <v>18526</v>
      </c>
      <c r="I1069" s="59">
        <f>SUM(I1066:I1068)</f>
        <v>119.9</v>
      </c>
      <c r="J1069" s="60">
        <f>SUM(J1066:J1068)</f>
        <v>18645.899999999998</v>
      </c>
    </row>
    <row r="1070" spans="1:10" ht="12.75">
      <c r="A1070" s="469" t="s">
        <v>1052</v>
      </c>
      <c r="B1070" s="1027" t="s">
        <v>1288</v>
      </c>
      <c r="C1070" s="1028"/>
      <c r="D1070" s="1028"/>
      <c r="E1070" s="457"/>
      <c r="F1070" s="457"/>
      <c r="G1070" s="457"/>
      <c r="H1070" s="457"/>
      <c r="I1070" s="457"/>
      <c r="J1070" s="458"/>
    </row>
    <row r="1072" spans="1:10" ht="38.25">
      <c r="A1072" s="463" t="s">
        <v>697</v>
      </c>
      <c r="B1072" s="440"/>
      <c r="C1072" s="438" t="s">
        <v>2328</v>
      </c>
      <c r="D1072" s="498" t="s">
        <v>2472</v>
      </c>
      <c r="E1072" s="440" t="s">
        <v>411</v>
      </c>
      <c r="F1072" s="417" t="s">
        <v>692</v>
      </c>
      <c r="G1072" s="417" t="s">
        <v>693</v>
      </c>
      <c r="H1072" s="417" t="s">
        <v>694</v>
      </c>
      <c r="I1072" s="417" t="s">
        <v>695</v>
      </c>
      <c r="J1072" s="424" t="s">
        <v>696</v>
      </c>
    </row>
    <row r="1073" spans="1:10" ht="25.5">
      <c r="A1073" s="446" t="s">
        <v>699</v>
      </c>
      <c r="B1073" s="465" t="s">
        <v>409</v>
      </c>
      <c r="C1073" s="478" t="s">
        <v>2420</v>
      </c>
      <c r="D1073" s="579" t="s">
        <v>2477</v>
      </c>
      <c r="E1073" s="411" t="s">
        <v>737</v>
      </c>
      <c r="F1073" s="62">
        <v>1</v>
      </c>
      <c r="G1073" s="112">
        <v>18526</v>
      </c>
      <c r="H1073" s="52">
        <f>F1073*G1073</f>
        <v>18526</v>
      </c>
      <c r="I1073" s="53"/>
      <c r="J1073" s="54">
        <f>F1073*G1073</f>
        <v>18526</v>
      </c>
    </row>
    <row r="1074" spans="1:10" ht="12.75">
      <c r="A1074" s="446" t="s">
        <v>698</v>
      </c>
      <c r="B1074" s="432" t="s">
        <v>406</v>
      </c>
      <c r="C1074" s="441">
        <v>88247</v>
      </c>
      <c r="D1074" s="447" t="s">
        <v>2343</v>
      </c>
      <c r="E1074" s="432" t="s">
        <v>740</v>
      </c>
      <c r="F1074" s="64">
        <v>2</v>
      </c>
      <c r="G1074" s="503">
        <v>26.96</v>
      </c>
      <c r="H1074" s="55"/>
      <c r="I1074" s="56">
        <f>F1074*G1074</f>
        <v>53.92</v>
      </c>
      <c r="J1074" s="57">
        <f>F1074*G1074</f>
        <v>53.92</v>
      </c>
    </row>
    <row r="1075" spans="1:10" ht="12.75">
      <c r="A1075" s="446" t="s">
        <v>698</v>
      </c>
      <c r="B1075" s="432" t="s">
        <v>406</v>
      </c>
      <c r="C1075" s="441">
        <v>88264</v>
      </c>
      <c r="D1075" s="447" t="s">
        <v>2342</v>
      </c>
      <c r="E1075" s="432" t="s">
        <v>740</v>
      </c>
      <c r="F1075" s="64">
        <v>2</v>
      </c>
      <c r="G1075" s="503">
        <v>32.99</v>
      </c>
      <c r="H1075" s="55"/>
      <c r="I1075" s="56">
        <f>F1075*G1075</f>
        <v>65.98</v>
      </c>
      <c r="J1075" s="57">
        <f>F1075*G1075</f>
        <v>65.98</v>
      </c>
    </row>
    <row r="1076" spans="1:10" ht="12.75">
      <c r="A1076" s="449"/>
      <c r="B1076" s="469"/>
      <c r="C1076" s="450"/>
      <c r="D1076" s="451" t="s">
        <v>696</v>
      </c>
      <c r="E1076" s="470"/>
      <c r="F1076" s="61"/>
      <c r="G1076" s="58"/>
      <c r="H1076" s="59">
        <f>SUM(H1073:H1075)</f>
        <v>18526</v>
      </c>
      <c r="I1076" s="59">
        <f>SUM(I1073:I1075)</f>
        <v>119.9</v>
      </c>
      <c r="J1076" s="60">
        <f>SUM(J1073:J1075)</f>
        <v>18645.899999999998</v>
      </c>
    </row>
    <row r="1077" spans="1:10" ht="12.75">
      <c r="A1077" s="469" t="s">
        <v>1052</v>
      </c>
      <c r="B1077" s="1027" t="s">
        <v>1288</v>
      </c>
      <c r="C1077" s="1028"/>
      <c r="D1077" s="1028"/>
      <c r="E1077" s="457"/>
      <c r="F1077" s="457"/>
      <c r="G1077" s="457"/>
      <c r="H1077" s="457"/>
      <c r="I1077" s="457"/>
      <c r="J1077" s="458"/>
    </row>
    <row r="1079" spans="1:10" ht="38.25">
      <c r="A1079" s="463" t="s">
        <v>697</v>
      </c>
      <c r="B1079" s="440"/>
      <c r="C1079" s="438" t="s">
        <v>2329</v>
      </c>
      <c r="D1079" s="498" t="s">
        <v>2473</v>
      </c>
      <c r="E1079" s="440" t="s">
        <v>411</v>
      </c>
      <c r="F1079" s="417" t="s">
        <v>692</v>
      </c>
      <c r="G1079" s="417" t="s">
        <v>693</v>
      </c>
      <c r="H1079" s="417" t="s">
        <v>694</v>
      </c>
      <c r="I1079" s="417" t="s">
        <v>695</v>
      </c>
      <c r="J1079" s="424" t="s">
        <v>696</v>
      </c>
    </row>
    <row r="1080" spans="1:10" ht="25.5">
      <c r="A1080" s="446" t="s">
        <v>699</v>
      </c>
      <c r="B1080" s="465" t="s">
        <v>409</v>
      </c>
      <c r="C1080" s="478" t="s">
        <v>2420</v>
      </c>
      <c r="D1080" s="579" t="s">
        <v>2478</v>
      </c>
      <c r="E1080" s="411" t="s">
        <v>737</v>
      </c>
      <c r="F1080" s="62">
        <v>1</v>
      </c>
      <c r="G1080" s="112">
        <v>21943</v>
      </c>
      <c r="H1080" s="52">
        <f>F1080*G1080</f>
        <v>21943</v>
      </c>
      <c r="I1080" s="53"/>
      <c r="J1080" s="54">
        <f>F1080*G1080</f>
        <v>21943</v>
      </c>
    </row>
    <row r="1081" spans="1:10" ht="12.75">
      <c r="A1081" s="446" t="s">
        <v>698</v>
      </c>
      <c r="B1081" s="432" t="s">
        <v>406</v>
      </c>
      <c r="C1081" s="441">
        <v>88247</v>
      </c>
      <c r="D1081" s="447" t="s">
        <v>2343</v>
      </c>
      <c r="E1081" s="432" t="s">
        <v>740</v>
      </c>
      <c r="F1081" s="64">
        <v>2</v>
      </c>
      <c r="G1081" s="503">
        <v>26.96</v>
      </c>
      <c r="H1081" s="55"/>
      <c r="I1081" s="56">
        <f>F1081*G1081</f>
        <v>53.92</v>
      </c>
      <c r="J1081" s="57">
        <f>F1081*G1081</f>
        <v>53.92</v>
      </c>
    </row>
    <row r="1082" spans="1:10" ht="12.75">
      <c r="A1082" s="446" t="s">
        <v>698</v>
      </c>
      <c r="B1082" s="432" t="s">
        <v>406</v>
      </c>
      <c r="C1082" s="441">
        <v>88264</v>
      </c>
      <c r="D1082" s="447" t="s">
        <v>2342</v>
      </c>
      <c r="E1082" s="432" t="s">
        <v>740</v>
      </c>
      <c r="F1082" s="64">
        <v>2</v>
      </c>
      <c r="G1082" s="503">
        <v>32.99</v>
      </c>
      <c r="H1082" s="55"/>
      <c r="I1082" s="56">
        <f>F1082*G1082</f>
        <v>65.98</v>
      </c>
      <c r="J1082" s="57">
        <f>F1082*G1082</f>
        <v>65.98</v>
      </c>
    </row>
    <row r="1083" spans="1:10" ht="12.75">
      <c r="A1083" s="449"/>
      <c r="B1083" s="469"/>
      <c r="C1083" s="450"/>
      <c r="D1083" s="451" t="s">
        <v>696</v>
      </c>
      <c r="E1083" s="470"/>
      <c r="F1083" s="61"/>
      <c r="G1083" s="58"/>
      <c r="H1083" s="59">
        <f>SUM(H1080:H1082)</f>
        <v>21943</v>
      </c>
      <c r="I1083" s="59">
        <f>SUM(I1080:I1082)</f>
        <v>119.9</v>
      </c>
      <c r="J1083" s="60">
        <f>SUM(J1080:J1082)</f>
        <v>22062.899999999998</v>
      </c>
    </row>
    <row r="1084" spans="1:10" ht="12.75">
      <c r="A1084" s="469" t="s">
        <v>1052</v>
      </c>
      <c r="B1084" s="1027" t="s">
        <v>1288</v>
      </c>
      <c r="C1084" s="1028"/>
      <c r="D1084" s="1028"/>
      <c r="E1084" s="457"/>
      <c r="F1084" s="457"/>
      <c r="G1084" s="457"/>
      <c r="H1084" s="457"/>
      <c r="I1084" s="457"/>
      <c r="J1084" s="458"/>
    </row>
    <row r="1086" spans="1:10" ht="38.25">
      <c r="A1086" s="463" t="s">
        <v>697</v>
      </c>
      <c r="B1086" s="440"/>
      <c r="C1086" s="438" t="s">
        <v>2330</v>
      </c>
      <c r="D1086" s="498" t="s">
        <v>2474</v>
      </c>
      <c r="E1086" s="440" t="s">
        <v>411</v>
      </c>
      <c r="F1086" s="417" t="s">
        <v>692</v>
      </c>
      <c r="G1086" s="417" t="s">
        <v>693</v>
      </c>
      <c r="H1086" s="417" t="s">
        <v>694</v>
      </c>
      <c r="I1086" s="417" t="s">
        <v>695</v>
      </c>
      <c r="J1086" s="424" t="s">
        <v>696</v>
      </c>
    </row>
    <row r="1087" spans="1:10" ht="25.5">
      <c r="A1087" s="446" t="s">
        <v>699</v>
      </c>
      <c r="B1087" s="465" t="s">
        <v>409</v>
      </c>
      <c r="C1087" s="478" t="s">
        <v>2420</v>
      </c>
      <c r="D1087" s="579" t="s">
        <v>2334</v>
      </c>
      <c r="E1087" s="411" t="s">
        <v>737</v>
      </c>
      <c r="F1087" s="62">
        <v>1</v>
      </c>
      <c r="G1087" s="112">
        <v>21943</v>
      </c>
      <c r="H1087" s="52">
        <f>F1087*G1087</f>
        <v>21943</v>
      </c>
      <c r="I1087" s="53"/>
      <c r="J1087" s="54">
        <f>F1087*G1087</f>
        <v>21943</v>
      </c>
    </row>
    <row r="1088" spans="1:10" ht="12.75">
      <c r="A1088" s="446" t="s">
        <v>698</v>
      </c>
      <c r="B1088" s="432" t="s">
        <v>406</v>
      </c>
      <c r="C1088" s="441">
        <v>88247</v>
      </c>
      <c r="D1088" s="447" t="s">
        <v>2343</v>
      </c>
      <c r="E1088" s="432" t="s">
        <v>740</v>
      </c>
      <c r="F1088" s="64">
        <v>2</v>
      </c>
      <c r="G1088" s="503">
        <v>26.96</v>
      </c>
      <c r="H1088" s="55"/>
      <c r="I1088" s="56">
        <f>F1088*G1088</f>
        <v>53.92</v>
      </c>
      <c r="J1088" s="57">
        <f>F1088*G1088</f>
        <v>53.92</v>
      </c>
    </row>
    <row r="1089" spans="1:10" ht="12.75">
      <c r="A1089" s="446" t="s">
        <v>698</v>
      </c>
      <c r="B1089" s="432" t="s">
        <v>406</v>
      </c>
      <c r="C1089" s="441">
        <v>88264</v>
      </c>
      <c r="D1089" s="447" t="s">
        <v>2342</v>
      </c>
      <c r="E1089" s="432" t="s">
        <v>740</v>
      </c>
      <c r="F1089" s="64">
        <v>2</v>
      </c>
      <c r="G1089" s="503">
        <v>32.99</v>
      </c>
      <c r="H1089" s="55"/>
      <c r="I1089" s="56">
        <f>F1089*G1089</f>
        <v>65.98</v>
      </c>
      <c r="J1089" s="57">
        <f>F1089*G1089</f>
        <v>65.98</v>
      </c>
    </row>
    <row r="1090" spans="1:10" ht="12.75">
      <c r="A1090" s="449"/>
      <c r="B1090" s="469"/>
      <c r="C1090" s="450"/>
      <c r="D1090" s="451" t="s">
        <v>696</v>
      </c>
      <c r="E1090" s="470"/>
      <c r="F1090" s="61"/>
      <c r="G1090" s="58"/>
      <c r="H1090" s="59">
        <f>SUM(H1087:H1089)</f>
        <v>21943</v>
      </c>
      <c r="I1090" s="59">
        <f>SUM(I1087:I1089)</f>
        <v>119.9</v>
      </c>
      <c r="J1090" s="60">
        <f>SUM(J1087:J1089)</f>
        <v>22062.899999999998</v>
      </c>
    </row>
    <row r="1091" spans="1:10" ht="12.75">
      <c r="A1091" s="469" t="s">
        <v>1052</v>
      </c>
      <c r="B1091" s="1027" t="s">
        <v>1288</v>
      </c>
      <c r="C1091" s="1028"/>
      <c r="D1091" s="1028"/>
      <c r="E1091" s="457"/>
      <c r="F1091" s="457"/>
      <c r="G1091" s="457"/>
      <c r="H1091" s="457"/>
      <c r="I1091" s="457"/>
      <c r="J1091" s="458"/>
    </row>
    <row r="1093" spans="1:10" ht="38.25">
      <c r="A1093" s="463" t="s">
        <v>697</v>
      </c>
      <c r="B1093" s="440"/>
      <c r="C1093" s="438" t="s">
        <v>2331</v>
      </c>
      <c r="D1093" s="498" t="s">
        <v>907</v>
      </c>
      <c r="E1093" s="440" t="s">
        <v>411</v>
      </c>
      <c r="F1093" s="417" t="s">
        <v>692</v>
      </c>
      <c r="G1093" s="417" t="s">
        <v>693</v>
      </c>
      <c r="H1093" s="417" t="s">
        <v>694</v>
      </c>
      <c r="I1093" s="417" t="s">
        <v>695</v>
      </c>
      <c r="J1093" s="424" t="s">
        <v>696</v>
      </c>
    </row>
    <row r="1094" spans="1:10" ht="38.25">
      <c r="A1094" s="446" t="s">
        <v>699</v>
      </c>
      <c r="B1094" s="465" t="s">
        <v>409</v>
      </c>
      <c r="C1094" s="478" t="s">
        <v>2420</v>
      </c>
      <c r="D1094" s="579" t="s">
        <v>2335</v>
      </c>
      <c r="E1094" s="411" t="s">
        <v>737</v>
      </c>
      <c r="F1094" s="62">
        <v>1</v>
      </c>
      <c r="G1094" s="112">
        <v>27350</v>
      </c>
      <c r="H1094" s="52">
        <f>F1094*G1094</f>
        <v>27350</v>
      </c>
      <c r="I1094" s="53"/>
      <c r="J1094" s="54">
        <f>F1094*G1094</f>
        <v>27350</v>
      </c>
    </row>
    <row r="1095" spans="1:10" ht="12.75">
      <c r="A1095" s="446" t="s">
        <v>698</v>
      </c>
      <c r="B1095" s="432" t="s">
        <v>406</v>
      </c>
      <c r="C1095" s="441">
        <v>88247</v>
      </c>
      <c r="D1095" s="447" t="s">
        <v>2343</v>
      </c>
      <c r="E1095" s="432" t="s">
        <v>740</v>
      </c>
      <c r="F1095" s="64">
        <v>2</v>
      </c>
      <c r="G1095" s="503">
        <v>26.96</v>
      </c>
      <c r="H1095" s="55"/>
      <c r="I1095" s="56">
        <f>F1095*G1095</f>
        <v>53.92</v>
      </c>
      <c r="J1095" s="57">
        <f>F1095*G1095</f>
        <v>53.92</v>
      </c>
    </row>
    <row r="1096" spans="1:10" ht="12.75">
      <c r="A1096" s="446" t="s">
        <v>698</v>
      </c>
      <c r="B1096" s="432" t="s">
        <v>406</v>
      </c>
      <c r="C1096" s="441">
        <v>88264</v>
      </c>
      <c r="D1096" s="447" t="s">
        <v>2342</v>
      </c>
      <c r="E1096" s="432" t="s">
        <v>740</v>
      </c>
      <c r="F1096" s="64">
        <v>2</v>
      </c>
      <c r="G1096" s="503">
        <v>32.99</v>
      </c>
      <c r="H1096" s="55"/>
      <c r="I1096" s="56">
        <f>F1096*G1096</f>
        <v>65.98</v>
      </c>
      <c r="J1096" s="57">
        <f>F1096*G1096</f>
        <v>65.98</v>
      </c>
    </row>
    <row r="1097" spans="1:10" ht="12.75">
      <c r="A1097" s="449"/>
      <c r="B1097" s="469"/>
      <c r="C1097" s="450"/>
      <c r="D1097" s="451" t="s">
        <v>696</v>
      </c>
      <c r="E1097" s="470"/>
      <c r="F1097" s="61"/>
      <c r="G1097" s="58"/>
      <c r="H1097" s="59">
        <f>SUM(H1094:H1096)</f>
        <v>27350</v>
      </c>
      <c r="I1097" s="59">
        <f>SUM(I1094:I1096)</f>
        <v>119.9</v>
      </c>
      <c r="J1097" s="60">
        <f>SUM(J1094:J1096)</f>
        <v>27469.899999999998</v>
      </c>
    </row>
    <row r="1098" spans="1:10" ht="12.75">
      <c r="A1098" s="469" t="s">
        <v>1052</v>
      </c>
      <c r="B1098" s="1027" t="s">
        <v>1288</v>
      </c>
      <c r="C1098" s="1028"/>
      <c r="D1098" s="1028"/>
      <c r="E1098" s="457"/>
      <c r="F1098" s="457"/>
      <c r="G1098" s="457"/>
      <c r="H1098" s="457"/>
      <c r="I1098" s="457"/>
      <c r="J1098" s="458"/>
    </row>
    <row r="1100" spans="1:10" ht="38.25">
      <c r="A1100" s="463" t="s">
        <v>697</v>
      </c>
      <c r="B1100" s="440"/>
      <c r="C1100" s="438" t="s">
        <v>2332</v>
      </c>
      <c r="D1100" s="498" t="s">
        <v>2318</v>
      </c>
      <c r="E1100" s="440" t="s">
        <v>411</v>
      </c>
      <c r="F1100" s="417" t="s">
        <v>692</v>
      </c>
      <c r="G1100" s="417" t="s">
        <v>693</v>
      </c>
      <c r="H1100" s="417" t="s">
        <v>694</v>
      </c>
      <c r="I1100" s="417" t="s">
        <v>695</v>
      </c>
      <c r="J1100" s="424" t="s">
        <v>696</v>
      </c>
    </row>
    <row r="1101" spans="1:10" ht="25.5">
      <c r="A1101" s="446" t="s">
        <v>699</v>
      </c>
      <c r="B1101" s="465" t="s">
        <v>409</v>
      </c>
      <c r="C1101" s="478" t="s">
        <v>2420</v>
      </c>
      <c r="D1101" s="579" t="s">
        <v>2336</v>
      </c>
      <c r="E1101" s="411" t="s">
        <v>737</v>
      </c>
      <c r="F1101" s="62">
        <v>1</v>
      </c>
      <c r="G1101" s="112">
        <v>7680</v>
      </c>
      <c r="H1101" s="52">
        <f>F1101*G1101</f>
        <v>7680</v>
      </c>
      <c r="I1101" s="53"/>
      <c r="J1101" s="54">
        <f>F1101*G1101</f>
        <v>7680</v>
      </c>
    </row>
    <row r="1102" spans="1:10" ht="12.75">
      <c r="A1102" s="446" t="s">
        <v>698</v>
      </c>
      <c r="B1102" s="432" t="s">
        <v>406</v>
      </c>
      <c r="C1102" s="441">
        <v>88247</v>
      </c>
      <c r="D1102" s="447" t="s">
        <v>2343</v>
      </c>
      <c r="E1102" s="432" t="s">
        <v>740</v>
      </c>
      <c r="F1102" s="64">
        <v>2</v>
      </c>
      <c r="G1102" s="503">
        <v>26.96</v>
      </c>
      <c r="H1102" s="55"/>
      <c r="I1102" s="56">
        <f>F1102*G1102</f>
        <v>53.92</v>
      </c>
      <c r="J1102" s="57">
        <f>F1102*G1102</f>
        <v>53.92</v>
      </c>
    </row>
    <row r="1103" spans="1:10" ht="12.75">
      <c r="A1103" s="446" t="s">
        <v>698</v>
      </c>
      <c r="B1103" s="432" t="s">
        <v>406</v>
      </c>
      <c r="C1103" s="441">
        <v>88264</v>
      </c>
      <c r="D1103" s="447" t="s">
        <v>2342</v>
      </c>
      <c r="E1103" s="432" t="s">
        <v>740</v>
      </c>
      <c r="F1103" s="64">
        <v>2</v>
      </c>
      <c r="G1103" s="503">
        <v>32.99</v>
      </c>
      <c r="H1103" s="55"/>
      <c r="I1103" s="56">
        <f>F1103*G1103</f>
        <v>65.98</v>
      </c>
      <c r="J1103" s="57">
        <f>F1103*G1103</f>
        <v>65.98</v>
      </c>
    </row>
    <row r="1104" spans="1:10" ht="12.75">
      <c r="A1104" s="449"/>
      <c r="B1104" s="469"/>
      <c r="C1104" s="450"/>
      <c r="D1104" s="451" t="s">
        <v>696</v>
      </c>
      <c r="E1104" s="470"/>
      <c r="F1104" s="61"/>
      <c r="G1104" s="58"/>
      <c r="H1104" s="59">
        <f>SUM(H1101:H1103)</f>
        <v>7680</v>
      </c>
      <c r="I1104" s="59">
        <f>SUM(I1101:I1103)</f>
        <v>119.9</v>
      </c>
      <c r="J1104" s="60">
        <f>SUM(J1101:J1103)</f>
        <v>7799.9</v>
      </c>
    </row>
    <row r="1105" spans="1:10" ht="12.75">
      <c r="A1105" s="469" t="s">
        <v>1052</v>
      </c>
      <c r="B1105" s="1027" t="s">
        <v>1288</v>
      </c>
      <c r="C1105" s="1028"/>
      <c r="D1105" s="1028"/>
      <c r="E1105" s="457"/>
      <c r="F1105" s="457"/>
      <c r="G1105" s="457"/>
      <c r="H1105" s="457"/>
      <c r="I1105" s="457"/>
      <c r="J1105" s="458"/>
    </row>
    <row r="1107" spans="1:10" ht="12.75">
      <c r="A1107" s="463" t="s">
        <v>697</v>
      </c>
      <c r="B1107" s="440"/>
      <c r="C1107" s="438" t="s">
        <v>2341</v>
      </c>
      <c r="D1107" s="498" t="s">
        <v>137</v>
      </c>
      <c r="E1107" s="440" t="s">
        <v>411</v>
      </c>
      <c r="F1107" s="417" t="s">
        <v>692</v>
      </c>
      <c r="G1107" s="417" t="s">
        <v>693</v>
      </c>
      <c r="H1107" s="417" t="s">
        <v>694</v>
      </c>
      <c r="I1107" s="417" t="s">
        <v>695</v>
      </c>
      <c r="J1107" s="424" t="s">
        <v>696</v>
      </c>
    </row>
    <row r="1108" spans="1:10" ht="12.75">
      <c r="A1108" s="446" t="s">
        <v>699</v>
      </c>
      <c r="B1108" s="465" t="s">
        <v>409</v>
      </c>
      <c r="C1108" s="478" t="s">
        <v>2420</v>
      </c>
      <c r="D1108" s="579" t="s">
        <v>137</v>
      </c>
      <c r="E1108" s="411" t="s">
        <v>737</v>
      </c>
      <c r="F1108" s="62">
        <v>1</v>
      </c>
      <c r="G1108" s="503">
        <v>8.32</v>
      </c>
      <c r="H1108" s="52">
        <f>F1108*G1108</f>
        <v>8.32</v>
      </c>
      <c r="I1108" s="53"/>
      <c r="J1108" s="54">
        <f>F1108*G1108</f>
        <v>8.32</v>
      </c>
    </row>
    <row r="1109" spans="1:10" ht="12.75">
      <c r="A1109" s="446" t="s">
        <v>698</v>
      </c>
      <c r="B1109" s="432" t="s">
        <v>406</v>
      </c>
      <c r="C1109" s="441">
        <v>88247</v>
      </c>
      <c r="D1109" s="447" t="s">
        <v>2343</v>
      </c>
      <c r="E1109" s="432" t="s">
        <v>740</v>
      </c>
      <c r="F1109" s="64">
        <v>0.1</v>
      </c>
      <c r="G1109" s="503">
        <v>26.96</v>
      </c>
      <c r="H1109" s="55"/>
      <c r="I1109" s="56">
        <f>F1109*G1109</f>
        <v>2.6960000000000002</v>
      </c>
      <c r="J1109" s="57">
        <f>F1109*G1109</f>
        <v>2.6960000000000002</v>
      </c>
    </row>
    <row r="1110" spans="1:10" ht="12.75">
      <c r="A1110" s="446" t="s">
        <v>698</v>
      </c>
      <c r="B1110" s="432" t="s">
        <v>406</v>
      </c>
      <c r="C1110" s="441">
        <v>88264</v>
      </c>
      <c r="D1110" s="447" t="s">
        <v>2342</v>
      </c>
      <c r="E1110" s="432" t="s">
        <v>740</v>
      </c>
      <c r="F1110" s="64">
        <v>0.1</v>
      </c>
      <c r="G1110" s="503">
        <v>32.99</v>
      </c>
      <c r="H1110" s="55"/>
      <c r="I1110" s="56">
        <f>F1110*G1110</f>
        <v>3.2990000000000004</v>
      </c>
      <c r="J1110" s="57">
        <f>F1110*G1110</f>
        <v>3.2990000000000004</v>
      </c>
    </row>
    <row r="1111" spans="1:10" ht="12.75">
      <c r="A1111" s="449"/>
      <c r="B1111" s="469"/>
      <c r="C1111" s="450"/>
      <c r="D1111" s="451" t="s">
        <v>696</v>
      </c>
      <c r="E1111" s="470"/>
      <c r="F1111" s="61"/>
      <c r="G1111" s="58"/>
      <c r="H1111" s="59">
        <f>SUM(H1108:H1110)</f>
        <v>8.32</v>
      </c>
      <c r="I1111" s="59">
        <f>SUM(I1108:I1110)</f>
        <v>5.995000000000001</v>
      </c>
      <c r="J1111" s="60">
        <f>SUM(J1108:J1110)</f>
        <v>14.315000000000001</v>
      </c>
    </row>
    <row r="1112" spans="1:10" ht="12.75">
      <c r="A1112" s="469" t="s">
        <v>1052</v>
      </c>
      <c r="B1112" s="1027" t="s">
        <v>2344</v>
      </c>
      <c r="C1112" s="1028"/>
      <c r="D1112" s="1028"/>
      <c r="E1112" s="457"/>
      <c r="F1112" s="457"/>
      <c r="G1112" s="457"/>
      <c r="H1112" s="457"/>
      <c r="I1112" s="457"/>
      <c r="J1112" s="458"/>
    </row>
    <row r="1114" spans="1:10" ht="12.75">
      <c r="A1114" s="463" t="s">
        <v>697</v>
      </c>
      <c r="B1114" s="440"/>
      <c r="C1114" s="438" t="s">
        <v>2345</v>
      </c>
      <c r="D1114" s="498" t="s">
        <v>138</v>
      </c>
      <c r="E1114" s="440" t="s">
        <v>411</v>
      </c>
      <c r="F1114" s="417" t="s">
        <v>692</v>
      </c>
      <c r="G1114" s="417" t="s">
        <v>693</v>
      </c>
      <c r="H1114" s="417" t="s">
        <v>694</v>
      </c>
      <c r="I1114" s="417" t="s">
        <v>695</v>
      </c>
      <c r="J1114" s="424" t="s">
        <v>696</v>
      </c>
    </row>
    <row r="1115" spans="1:10" ht="12.75">
      <c r="A1115" s="446" t="s">
        <v>699</v>
      </c>
      <c r="B1115" s="465" t="s">
        <v>409</v>
      </c>
      <c r="C1115" s="478" t="s">
        <v>2420</v>
      </c>
      <c r="D1115" s="579" t="s">
        <v>138</v>
      </c>
      <c r="E1115" s="411" t="s">
        <v>737</v>
      </c>
      <c r="F1115" s="62">
        <v>1</v>
      </c>
      <c r="G1115" s="503">
        <v>8.4</v>
      </c>
      <c r="H1115" s="52">
        <f>F1115*G1115</f>
        <v>8.4</v>
      </c>
      <c r="I1115" s="53"/>
      <c r="J1115" s="54">
        <f>F1115*G1115</f>
        <v>8.4</v>
      </c>
    </row>
    <row r="1116" spans="1:10" ht="12.75">
      <c r="A1116" s="446" t="s">
        <v>698</v>
      </c>
      <c r="B1116" s="432" t="s">
        <v>406</v>
      </c>
      <c r="C1116" s="441">
        <v>88247</v>
      </c>
      <c r="D1116" s="447" t="s">
        <v>2343</v>
      </c>
      <c r="E1116" s="432" t="s">
        <v>740</v>
      </c>
      <c r="F1116" s="64">
        <v>0.1</v>
      </c>
      <c r="G1116" s="503">
        <v>26.96</v>
      </c>
      <c r="H1116" s="55"/>
      <c r="I1116" s="56">
        <f>F1116*G1116</f>
        <v>2.6960000000000002</v>
      </c>
      <c r="J1116" s="57">
        <f>F1116*G1116</f>
        <v>2.6960000000000002</v>
      </c>
    </row>
    <row r="1117" spans="1:10" ht="12.75">
      <c r="A1117" s="446" t="s">
        <v>698</v>
      </c>
      <c r="B1117" s="432" t="s">
        <v>406</v>
      </c>
      <c r="C1117" s="441">
        <v>88264</v>
      </c>
      <c r="D1117" s="447" t="s">
        <v>2342</v>
      </c>
      <c r="E1117" s="432" t="s">
        <v>740</v>
      </c>
      <c r="F1117" s="64">
        <v>0.1</v>
      </c>
      <c r="G1117" s="503">
        <v>32.99</v>
      </c>
      <c r="H1117" s="55"/>
      <c r="I1117" s="56">
        <f>F1117*G1117</f>
        <v>3.2990000000000004</v>
      </c>
      <c r="J1117" s="57">
        <f>F1117*G1117</f>
        <v>3.2990000000000004</v>
      </c>
    </row>
    <row r="1118" spans="1:10" ht="12.75">
      <c r="A1118" s="449"/>
      <c r="B1118" s="469"/>
      <c r="C1118" s="450"/>
      <c r="D1118" s="451" t="s">
        <v>696</v>
      </c>
      <c r="E1118" s="470"/>
      <c r="F1118" s="61"/>
      <c r="G1118" s="58"/>
      <c r="H1118" s="59">
        <f>SUM(H1115:H1117)</f>
        <v>8.4</v>
      </c>
      <c r="I1118" s="59">
        <f>SUM(I1115:I1117)</f>
        <v>5.995000000000001</v>
      </c>
      <c r="J1118" s="60">
        <f>SUM(J1115:J1117)</f>
        <v>14.395</v>
      </c>
    </row>
    <row r="1119" spans="1:10" ht="12.75">
      <c r="A1119" s="469" t="s">
        <v>1052</v>
      </c>
      <c r="B1119" s="1027" t="s">
        <v>2344</v>
      </c>
      <c r="C1119" s="1028"/>
      <c r="D1119" s="1028"/>
      <c r="E1119" s="457"/>
      <c r="F1119" s="457"/>
      <c r="G1119" s="457"/>
      <c r="H1119" s="457"/>
      <c r="I1119" s="457"/>
      <c r="J1119" s="458"/>
    </row>
    <row r="1121" spans="1:10" ht="12.75">
      <c r="A1121" s="463" t="s">
        <v>697</v>
      </c>
      <c r="B1121" s="440"/>
      <c r="C1121" s="438" t="s">
        <v>2346</v>
      </c>
      <c r="D1121" s="498" t="s">
        <v>333</v>
      </c>
      <c r="E1121" s="440" t="s">
        <v>411</v>
      </c>
      <c r="F1121" s="417" t="s">
        <v>692</v>
      </c>
      <c r="G1121" s="417" t="s">
        <v>693</v>
      </c>
      <c r="H1121" s="417" t="s">
        <v>694</v>
      </c>
      <c r="I1121" s="417" t="s">
        <v>695</v>
      </c>
      <c r="J1121" s="424" t="s">
        <v>696</v>
      </c>
    </row>
    <row r="1122" spans="1:10" ht="12.75">
      <c r="A1122" s="446" t="s">
        <v>699</v>
      </c>
      <c r="B1122" s="465" t="s">
        <v>409</v>
      </c>
      <c r="C1122" s="478" t="s">
        <v>2420</v>
      </c>
      <c r="D1122" s="579" t="s">
        <v>333</v>
      </c>
      <c r="E1122" s="411" t="s">
        <v>737</v>
      </c>
      <c r="F1122" s="62">
        <v>1</v>
      </c>
      <c r="G1122" s="503">
        <v>10.4</v>
      </c>
      <c r="H1122" s="52">
        <f>F1122*G1122</f>
        <v>10.4</v>
      </c>
      <c r="I1122" s="53"/>
      <c r="J1122" s="54">
        <f>F1122*G1122</f>
        <v>10.4</v>
      </c>
    </row>
    <row r="1123" spans="1:10" ht="12.75">
      <c r="A1123" s="446" t="s">
        <v>698</v>
      </c>
      <c r="B1123" s="432" t="s">
        <v>406</v>
      </c>
      <c r="C1123" s="441">
        <v>88247</v>
      </c>
      <c r="D1123" s="447" t="s">
        <v>746</v>
      </c>
      <c r="E1123" s="432" t="s">
        <v>740</v>
      </c>
      <c r="F1123" s="64">
        <v>0.1</v>
      </c>
      <c r="G1123" s="503">
        <v>26.96</v>
      </c>
      <c r="H1123" s="55"/>
      <c r="I1123" s="56">
        <f>F1123*G1123</f>
        <v>2.6960000000000002</v>
      </c>
      <c r="J1123" s="57">
        <f>F1123*G1123</f>
        <v>2.6960000000000002</v>
      </c>
    </row>
    <row r="1124" spans="1:10" ht="12.75">
      <c r="A1124" s="449"/>
      <c r="B1124" s="469"/>
      <c r="C1124" s="450"/>
      <c r="D1124" s="451" t="s">
        <v>696</v>
      </c>
      <c r="E1124" s="470"/>
      <c r="F1124" s="61"/>
      <c r="G1124" s="58"/>
      <c r="H1124" s="59">
        <f>SUM(H1122:H1123)</f>
        <v>10.4</v>
      </c>
      <c r="I1124" s="59">
        <f>SUM(I1122:I1123)</f>
        <v>2.6960000000000002</v>
      </c>
      <c r="J1124" s="60">
        <f>SUM(J1122:J1123)</f>
        <v>13.096</v>
      </c>
    </row>
    <row r="1125" spans="1:10" ht="12.75">
      <c r="A1125" s="469" t="s">
        <v>1052</v>
      </c>
      <c r="B1125" s="1027" t="s">
        <v>2344</v>
      </c>
      <c r="C1125" s="1028"/>
      <c r="D1125" s="1028"/>
      <c r="E1125" s="457"/>
      <c r="F1125" s="457"/>
      <c r="G1125" s="457"/>
      <c r="H1125" s="457"/>
      <c r="I1125" s="457"/>
      <c r="J1125" s="458"/>
    </row>
    <row r="1127" spans="1:10" ht="12.75">
      <c r="A1127" s="463" t="s">
        <v>697</v>
      </c>
      <c r="B1127" s="440"/>
      <c r="C1127" s="438" t="s">
        <v>2347</v>
      </c>
      <c r="D1127" s="498" t="s">
        <v>139</v>
      </c>
      <c r="E1127" s="440" t="s">
        <v>411</v>
      </c>
      <c r="F1127" s="417" t="s">
        <v>692</v>
      </c>
      <c r="G1127" s="417" t="s">
        <v>693</v>
      </c>
      <c r="H1127" s="417" t="s">
        <v>694</v>
      </c>
      <c r="I1127" s="417" t="s">
        <v>695</v>
      </c>
      <c r="J1127" s="424" t="s">
        <v>696</v>
      </c>
    </row>
    <row r="1128" spans="1:10" ht="12.75">
      <c r="A1128" s="446" t="s">
        <v>699</v>
      </c>
      <c r="B1128" s="465" t="s">
        <v>409</v>
      </c>
      <c r="C1128" s="478" t="s">
        <v>2420</v>
      </c>
      <c r="D1128" s="579" t="s">
        <v>139</v>
      </c>
      <c r="E1128" s="411" t="s">
        <v>737</v>
      </c>
      <c r="F1128" s="62">
        <v>1</v>
      </c>
      <c r="G1128" s="503">
        <v>12.5</v>
      </c>
      <c r="H1128" s="52">
        <f>F1128*G1128</f>
        <v>12.5</v>
      </c>
      <c r="I1128" s="53"/>
      <c r="J1128" s="54">
        <f>F1128*G1128</f>
        <v>12.5</v>
      </c>
    </row>
    <row r="1129" spans="1:10" ht="12.75">
      <c r="A1129" s="446" t="s">
        <v>698</v>
      </c>
      <c r="B1129" s="432" t="s">
        <v>406</v>
      </c>
      <c r="C1129" s="441">
        <v>88247</v>
      </c>
      <c r="D1129" s="447" t="s">
        <v>746</v>
      </c>
      <c r="E1129" s="432" t="s">
        <v>740</v>
      </c>
      <c r="F1129" s="64">
        <v>0.06</v>
      </c>
      <c r="G1129" s="503">
        <v>26.96</v>
      </c>
      <c r="H1129" s="55"/>
      <c r="I1129" s="56">
        <f>F1129*G1129</f>
        <v>1.6175999999999999</v>
      </c>
      <c r="J1129" s="57">
        <f>F1129*G1129</f>
        <v>1.6175999999999999</v>
      </c>
    </row>
    <row r="1130" spans="1:10" ht="12.75">
      <c r="A1130" s="449"/>
      <c r="B1130" s="469"/>
      <c r="C1130" s="450"/>
      <c r="D1130" s="451" t="s">
        <v>696</v>
      </c>
      <c r="E1130" s="470"/>
      <c r="F1130" s="61"/>
      <c r="G1130" s="58"/>
      <c r="H1130" s="59">
        <f>SUM(H1128:H1129)</f>
        <v>12.5</v>
      </c>
      <c r="I1130" s="59">
        <f>SUM(I1128:I1129)</f>
        <v>1.6175999999999999</v>
      </c>
      <c r="J1130" s="60">
        <f>SUM(J1128:J1129)</f>
        <v>14.117599999999999</v>
      </c>
    </row>
    <row r="1131" spans="1:10" ht="12.75">
      <c r="A1131" s="469" t="s">
        <v>1052</v>
      </c>
      <c r="B1131" s="1027" t="s">
        <v>2344</v>
      </c>
      <c r="C1131" s="1028"/>
      <c r="D1131" s="1028"/>
      <c r="E1131" s="457"/>
      <c r="F1131" s="457"/>
      <c r="G1131" s="457"/>
      <c r="H1131" s="457"/>
      <c r="I1131" s="457"/>
      <c r="J1131" s="458"/>
    </row>
    <row r="1133" spans="1:10" ht="12.75">
      <c r="A1133" s="463" t="s">
        <v>697</v>
      </c>
      <c r="B1133" s="440"/>
      <c r="C1133" s="438" t="s">
        <v>2348</v>
      </c>
      <c r="D1133" s="498" t="s">
        <v>140</v>
      </c>
      <c r="E1133" s="440" t="s">
        <v>411</v>
      </c>
      <c r="F1133" s="417" t="s">
        <v>692</v>
      </c>
      <c r="G1133" s="417" t="s">
        <v>693</v>
      </c>
      <c r="H1133" s="417" t="s">
        <v>694</v>
      </c>
      <c r="I1133" s="417" t="s">
        <v>695</v>
      </c>
      <c r="J1133" s="424" t="s">
        <v>696</v>
      </c>
    </row>
    <row r="1134" spans="1:10" ht="12.75">
      <c r="A1134" s="446" t="s">
        <v>699</v>
      </c>
      <c r="B1134" s="465" t="s">
        <v>409</v>
      </c>
      <c r="C1134" s="478" t="s">
        <v>2420</v>
      </c>
      <c r="D1134" s="579" t="s">
        <v>140</v>
      </c>
      <c r="E1134" s="411" t="s">
        <v>737</v>
      </c>
      <c r="F1134" s="62">
        <v>1</v>
      </c>
      <c r="G1134" s="503">
        <v>16.100000000000001</v>
      </c>
      <c r="H1134" s="52">
        <f>F1134*G1134</f>
        <v>16.100000000000001</v>
      </c>
      <c r="I1134" s="53"/>
      <c r="J1134" s="54">
        <f>F1134*G1134</f>
        <v>16.100000000000001</v>
      </c>
    </row>
    <row r="1135" spans="1:10" ht="12.75">
      <c r="A1135" s="446" t="s">
        <v>698</v>
      </c>
      <c r="B1135" s="432" t="s">
        <v>406</v>
      </c>
      <c r="C1135" s="441">
        <v>88247</v>
      </c>
      <c r="D1135" s="447" t="s">
        <v>746</v>
      </c>
      <c r="E1135" s="432" t="s">
        <v>740</v>
      </c>
      <c r="F1135" s="64">
        <v>0.06</v>
      </c>
      <c r="G1135" s="503">
        <v>26.96</v>
      </c>
      <c r="H1135" s="55"/>
      <c r="I1135" s="56">
        <f>F1135*G1135</f>
        <v>1.6175999999999999</v>
      </c>
      <c r="J1135" s="57">
        <f>F1135*G1135</f>
        <v>1.6175999999999999</v>
      </c>
    </row>
    <row r="1136" spans="1:10" ht="12.75">
      <c r="A1136" s="449"/>
      <c r="B1136" s="469"/>
      <c r="C1136" s="450"/>
      <c r="D1136" s="451" t="s">
        <v>696</v>
      </c>
      <c r="E1136" s="470"/>
      <c r="F1136" s="61"/>
      <c r="G1136" s="58"/>
      <c r="H1136" s="59">
        <f>SUM(H1134:H1135)</f>
        <v>16.100000000000001</v>
      </c>
      <c r="I1136" s="59">
        <f>SUM(I1134:I1135)</f>
        <v>1.6175999999999999</v>
      </c>
      <c r="J1136" s="60">
        <f>SUM(J1134:J1135)</f>
        <v>17.717600000000001</v>
      </c>
    </row>
    <row r="1137" spans="1:10" ht="12.75">
      <c r="A1137" s="469" t="s">
        <v>1052</v>
      </c>
      <c r="B1137" s="1027" t="s">
        <v>2344</v>
      </c>
      <c r="C1137" s="1028"/>
      <c r="D1137" s="1028"/>
      <c r="E1137" s="457"/>
      <c r="F1137" s="457"/>
      <c r="G1137" s="457"/>
      <c r="H1137" s="457"/>
      <c r="I1137" s="457"/>
      <c r="J1137" s="458"/>
    </row>
    <row r="1139" spans="1:10" ht="12.75">
      <c r="A1139" s="463" t="s">
        <v>697</v>
      </c>
      <c r="B1139" s="440"/>
      <c r="C1139" s="438" t="s">
        <v>2349</v>
      </c>
      <c r="D1139" s="498" t="s">
        <v>1132</v>
      </c>
      <c r="E1139" s="440" t="s">
        <v>411</v>
      </c>
      <c r="F1139" s="417" t="s">
        <v>692</v>
      </c>
      <c r="G1139" s="417" t="s">
        <v>693</v>
      </c>
      <c r="H1139" s="417" t="s">
        <v>694</v>
      </c>
      <c r="I1139" s="417" t="s">
        <v>695</v>
      </c>
      <c r="J1139" s="424" t="s">
        <v>696</v>
      </c>
    </row>
    <row r="1140" spans="1:10" ht="12.75">
      <c r="A1140" s="446" t="s">
        <v>699</v>
      </c>
      <c r="B1140" s="465" t="s">
        <v>409</v>
      </c>
      <c r="C1140" s="478" t="s">
        <v>2420</v>
      </c>
      <c r="D1140" s="579" t="s">
        <v>1132</v>
      </c>
      <c r="E1140" s="411" t="s">
        <v>737</v>
      </c>
      <c r="F1140" s="62">
        <v>1</v>
      </c>
      <c r="G1140" s="503">
        <v>19.2</v>
      </c>
      <c r="H1140" s="52">
        <f>F1140*G1140</f>
        <v>19.2</v>
      </c>
      <c r="I1140" s="53"/>
      <c r="J1140" s="54">
        <f>F1140*G1140</f>
        <v>19.2</v>
      </c>
    </row>
    <row r="1141" spans="1:10" ht="12.75">
      <c r="A1141" s="446" t="s">
        <v>698</v>
      </c>
      <c r="B1141" s="432" t="s">
        <v>406</v>
      </c>
      <c r="C1141" s="441">
        <v>88247</v>
      </c>
      <c r="D1141" s="447" t="s">
        <v>746</v>
      </c>
      <c r="E1141" s="432" t="s">
        <v>740</v>
      </c>
      <c r="F1141" s="64">
        <v>0.2</v>
      </c>
      <c r="G1141" s="503">
        <v>26.96</v>
      </c>
      <c r="H1141" s="55"/>
      <c r="I1141" s="56">
        <f>F1141*G1141</f>
        <v>5.3920000000000003</v>
      </c>
      <c r="J1141" s="57">
        <f>F1141*G1141</f>
        <v>5.3920000000000003</v>
      </c>
    </row>
    <row r="1142" spans="1:10" ht="12.75">
      <c r="A1142" s="449"/>
      <c r="B1142" s="469"/>
      <c r="C1142" s="450"/>
      <c r="D1142" s="451" t="s">
        <v>696</v>
      </c>
      <c r="E1142" s="470"/>
      <c r="F1142" s="61"/>
      <c r="G1142" s="58"/>
      <c r="H1142" s="59">
        <f>SUM(H1140:H1141)</f>
        <v>19.2</v>
      </c>
      <c r="I1142" s="59">
        <f>SUM(I1140:I1141)</f>
        <v>5.3920000000000003</v>
      </c>
      <c r="J1142" s="60">
        <f>SUM(J1140:J1141)</f>
        <v>24.591999999999999</v>
      </c>
    </row>
    <row r="1143" spans="1:10" ht="12.75">
      <c r="A1143" s="469" t="s">
        <v>1052</v>
      </c>
      <c r="B1143" s="1027" t="s">
        <v>2344</v>
      </c>
      <c r="C1143" s="1028"/>
      <c r="D1143" s="1028"/>
      <c r="E1143" s="457"/>
      <c r="F1143" s="457"/>
      <c r="G1143" s="457"/>
      <c r="H1143" s="457"/>
      <c r="I1143" s="457"/>
      <c r="J1143" s="458"/>
    </row>
    <row r="1145" spans="1:10" ht="12.75">
      <c r="A1145" s="463" t="s">
        <v>697</v>
      </c>
      <c r="B1145" s="440"/>
      <c r="C1145" s="438" t="s">
        <v>2350</v>
      </c>
      <c r="D1145" s="498" t="s">
        <v>860</v>
      </c>
      <c r="E1145" s="440" t="s">
        <v>411</v>
      </c>
      <c r="F1145" s="417" t="s">
        <v>692</v>
      </c>
      <c r="G1145" s="417" t="s">
        <v>693</v>
      </c>
      <c r="H1145" s="417" t="s">
        <v>694</v>
      </c>
      <c r="I1145" s="417" t="s">
        <v>695</v>
      </c>
      <c r="J1145" s="424" t="s">
        <v>696</v>
      </c>
    </row>
    <row r="1146" spans="1:10" ht="12.75">
      <c r="A1146" s="446" t="s">
        <v>699</v>
      </c>
      <c r="B1146" s="465" t="s">
        <v>409</v>
      </c>
      <c r="C1146" s="478" t="s">
        <v>2420</v>
      </c>
      <c r="D1146" s="579" t="s">
        <v>860</v>
      </c>
      <c r="E1146" s="411" t="s">
        <v>737</v>
      </c>
      <c r="F1146" s="62">
        <v>1</v>
      </c>
      <c r="G1146" s="503">
        <v>2.35</v>
      </c>
      <c r="H1146" s="52">
        <f>F1146*G1146</f>
        <v>2.35</v>
      </c>
      <c r="I1146" s="53"/>
      <c r="J1146" s="54">
        <f>F1146*G1146</f>
        <v>2.35</v>
      </c>
    </row>
    <row r="1147" spans="1:10" ht="12.75">
      <c r="A1147" s="446" t="s">
        <v>698</v>
      </c>
      <c r="B1147" s="432" t="s">
        <v>406</v>
      </c>
      <c r="C1147" s="441">
        <v>88247</v>
      </c>
      <c r="D1147" s="447" t="s">
        <v>746</v>
      </c>
      <c r="E1147" s="432" t="s">
        <v>740</v>
      </c>
      <c r="F1147" s="64">
        <v>0.06</v>
      </c>
      <c r="G1147" s="503">
        <v>26.96</v>
      </c>
      <c r="H1147" s="55"/>
      <c r="I1147" s="56">
        <f>F1147*G1147</f>
        <v>1.6175999999999999</v>
      </c>
      <c r="J1147" s="57">
        <f>F1147*G1147</f>
        <v>1.6175999999999999</v>
      </c>
    </row>
    <row r="1148" spans="1:10" ht="12.75">
      <c r="A1148" s="449"/>
      <c r="B1148" s="469"/>
      <c r="C1148" s="450"/>
      <c r="D1148" s="451" t="s">
        <v>696</v>
      </c>
      <c r="E1148" s="470"/>
      <c r="F1148" s="61"/>
      <c r="G1148" s="58"/>
      <c r="H1148" s="59">
        <f>SUM(H1146:H1147)</f>
        <v>2.35</v>
      </c>
      <c r="I1148" s="59">
        <f>SUM(I1146:I1147)</f>
        <v>1.6175999999999999</v>
      </c>
      <c r="J1148" s="60">
        <f>SUM(J1146:J1147)</f>
        <v>3.9676</v>
      </c>
    </row>
    <row r="1149" spans="1:10" ht="12.75">
      <c r="A1149" s="469" t="s">
        <v>1052</v>
      </c>
      <c r="B1149" s="1027" t="s">
        <v>2344</v>
      </c>
      <c r="C1149" s="1028"/>
      <c r="D1149" s="1028"/>
      <c r="E1149" s="457"/>
      <c r="F1149" s="457"/>
      <c r="G1149" s="457"/>
      <c r="H1149" s="457"/>
      <c r="I1149" s="457"/>
      <c r="J1149" s="458"/>
    </row>
    <row r="1151" spans="1:10" ht="12.75">
      <c r="A1151" s="463" t="s">
        <v>697</v>
      </c>
      <c r="B1151" s="440"/>
      <c r="C1151" s="438" t="s">
        <v>2351</v>
      </c>
      <c r="D1151" s="498" t="s">
        <v>861</v>
      </c>
      <c r="E1151" s="440" t="s">
        <v>411</v>
      </c>
      <c r="F1151" s="417" t="s">
        <v>692</v>
      </c>
      <c r="G1151" s="417" t="s">
        <v>693</v>
      </c>
      <c r="H1151" s="417" t="s">
        <v>694</v>
      </c>
      <c r="I1151" s="417" t="s">
        <v>695</v>
      </c>
      <c r="J1151" s="424" t="s">
        <v>696</v>
      </c>
    </row>
    <row r="1152" spans="1:10" ht="12.75">
      <c r="A1152" s="446" t="s">
        <v>699</v>
      </c>
      <c r="B1152" s="465" t="s">
        <v>409</v>
      </c>
      <c r="C1152" s="478" t="s">
        <v>2420</v>
      </c>
      <c r="D1152" s="579" t="s">
        <v>861</v>
      </c>
      <c r="E1152" s="411" t="s">
        <v>737</v>
      </c>
      <c r="F1152" s="62">
        <v>1</v>
      </c>
      <c r="G1152" s="503">
        <v>1.99</v>
      </c>
      <c r="H1152" s="52">
        <f>F1152*G1152</f>
        <v>1.99</v>
      </c>
      <c r="I1152" s="53"/>
      <c r="J1152" s="54">
        <f>F1152*G1152</f>
        <v>1.99</v>
      </c>
    </row>
    <row r="1153" spans="1:10" ht="12.75">
      <c r="A1153" s="446" t="s">
        <v>698</v>
      </c>
      <c r="B1153" s="432" t="s">
        <v>406</v>
      </c>
      <c r="C1153" s="441">
        <v>88247</v>
      </c>
      <c r="D1153" s="447" t="s">
        <v>746</v>
      </c>
      <c r="E1153" s="432" t="s">
        <v>740</v>
      </c>
      <c r="F1153" s="64">
        <v>0.02</v>
      </c>
      <c r="G1153" s="503">
        <v>26.96</v>
      </c>
      <c r="H1153" s="55"/>
      <c r="I1153" s="56">
        <f>F1153*G1153</f>
        <v>0.53920000000000001</v>
      </c>
      <c r="J1153" s="57">
        <f>F1153*G1153</f>
        <v>0.53920000000000001</v>
      </c>
    </row>
    <row r="1154" spans="1:10" ht="12.75">
      <c r="A1154" s="449"/>
      <c r="B1154" s="469"/>
      <c r="C1154" s="450"/>
      <c r="D1154" s="451" t="s">
        <v>696</v>
      </c>
      <c r="E1154" s="470"/>
      <c r="F1154" s="61"/>
      <c r="G1154" s="58"/>
      <c r="H1154" s="59">
        <f>SUM(H1152:H1153)</f>
        <v>1.99</v>
      </c>
      <c r="I1154" s="59">
        <f>SUM(I1152:I1153)</f>
        <v>0.53920000000000001</v>
      </c>
      <c r="J1154" s="60">
        <f>SUM(J1152:J1153)</f>
        <v>2.5291999999999999</v>
      </c>
    </row>
    <row r="1155" spans="1:10" ht="12.75">
      <c r="A1155" s="469" t="s">
        <v>1052</v>
      </c>
      <c r="B1155" s="1027" t="s">
        <v>2344</v>
      </c>
      <c r="C1155" s="1028"/>
      <c r="D1155" s="1028"/>
      <c r="E1155" s="457"/>
      <c r="F1155" s="457"/>
      <c r="G1155" s="457"/>
      <c r="H1155" s="457"/>
      <c r="I1155" s="457"/>
      <c r="J1155" s="458"/>
    </row>
    <row r="1157" spans="1:10" ht="12.75">
      <c r="A1157" s="463" t="s">
        <v>697</v>
      </c>
      <c r="B1157" s="440"/>
      <c r="C1157" s="438" t="s">
        <v>2352</v>
      </c>
      <c r="D1157" s="498" t="s">
        <v>905</v>
      </c>
      <c r="E1157" s="440" t="s">
        <v>411</v>
      </c>
      <c r="F1157" s="417" t="s">
        <v>692</v>
      </c>
      <c r="G1157" s="417" t="s">
        <v>693</v>
      </c>
      <c r="H1157" s="417" t="s">
        <v>694</v>
      </c>
      <c r="I1157" s="417" t="s">
        <v>695</v>
      </c>
      <c r="J1157" s="424" t="s">
        <v>696</v>
      </c>
    </row>
    <row r="1158" spans="1:10" ht="12.75">
      <c r="A1158" s="446" t="s">
        <v>699</v>
      </c>
      <c r="B1158" s="465" t="s">
        <v>409</v>
      </c>
      <c r="C1158" s="478" t="s">
        <v>2420</v>
      </c>
      <c r="D1158" s="579" t="s">
        <v>905</v>
      </c>
      <c r="E1158" s="411" t="s">
        <v>737</v>
      </c>
      <c r="F1158" s="62">
        <v>1</v>
      </c>
      <c r="G1158" s="503">
        <v>8.3000000000000007</v>
      </c>
      <c r="H1158" s="52">
        <f>F1158*G1158</f>
        <v>8.3000000000000007</v>
      </c>
      <c r="I1158" s="53"/>
      <c r="J1158" s="54">
        <f>F1158*G1158</f>
        <v>8.3000000000000007</v>
      </c>
    </row>
    <row r="1159" spans="1:10" ht="12.75">
      <c r="A1159" s="446" t="s">
        <v>698</v>
      </c>
      <c r="B1159" s="432" t="s">
        <v>406</v>
      </c>
      <c r="C1159" s="441">
        <v>88247</v>
      </c>
      <c r="D1159" s="447" t="s">
        <v>746</v>
      </c>
      <c r="E1159" s="432" t="s">
        <v>740</v>
      </c>
      <c r="F1159" s="64">
        <v>0.08</v>
      </c>
      <c r="G1159" s="503">
        <v>26.96</v>
      </c>
      <c r="H1159" s="55"/>
      <c r="I1159" s="56">
        <f>F1159*G1159</f>
        <v>2.1568000000000001</v>
      </c>
      <c r="J1159" s="57">
        <f>F1159*G1159</f>
        <v>2.1568000000000001</v>
      </c>
    </row>
    <row r="1160" spans="1:10" ht="12.75">
      <c r="A1160" s="449"/>
      <c r="B1160" s="469"/>
      <c r="C1160" s="450"/>
      <c r="D1160" s="451" t="s">
        <v>696</v>
      </c>
      <c r="E1160" s="470"/>
      <c r="F1160" s="61"/>
      <c r="G1160" s="58"/>
      <c r="H1160" s="59">
        <f>SUM(H1158:H1159)</f>
        <v>8.3000000000000007</v>
      </c>
      <c r="I1160" s="59">
        <f>SUM(I1158:I1159)</f>
        <v>2.1568000000000001</v>
      </c>
      <c r="J1160" s="60">
        <f>SUM(J1158:J1159)</f>
        <v>10.456800000000001</v>
      </c>
    </row>
    <row r="1161" spans="1:10" ht="12.75">
      <c r="A1161" s="469" t="s">
        <v>1052</v>
      </c>
      <c r="B1161" s="1027" t="s">
        <v>2344</v>
      </c>
      <c r="C1161" s="1028"/>
      <c r="D1161" s="1028"/>
      <c r="E1161" s="457"/>
      <c r="F1161" s="457"/>
      <c r="G1161" s="457"/>
      <c r="H1161" s="457"/>
      <c r="I1161" s="457"/>
      <c r="J1161" s="458"/>
    </row>
    <row r="1163" spans="1:10" ht="25.5">
      <c r="A1163" s="463" t="s">
        <v>697</v>
      </c>
      <c r="B1163" s="440"/>
      <c r="C1163" s="438" t="s">
        <v>2353</v>
      </c>
      <c r="D1163" s="498" t="s">
        <v>911</v>
      </c>
      <c r="E1163" s="440" t="s">
        <v>411</v>
      </c>
      <c r="F1163" s="417" t="s">
        <v>692</v>
      </c>
      <c r="G1163" s="417" t="s">
        <v>693</v>
      </c>
      <c r="H1163" s="417" t="s">
        <v>694</v>
      </c>
      <c r="I1163" s="417" t="s">
        <v>695</v>
      </c>
      <c r="J1163" s="424" t="s">
        <v>696</v>
      </c>
    </row>
    <row r="1164" spans="1:10" ht="12.75">
      <c r="A1164" s="446" t="s">
        <v>819</v>
      </c>
      <c r="B1164" s="465" t="s">
        <v>409</v>
      </c>
      <c r="C1164" s="478">
        <v>60984</v>
      </c>
      <c r="D1164" s="579" t="s">
        <v>911</v>
      </c>
      <c r="E1164" s="411" t="s">
        <v>737</v>
      </c>
      <c r="F1164" s="62">
        <v>1</v>
      </c>
      <c r="G1164" s="503">
        <v>322</v>
      </c>
      <c r="H1164" s="52">
        <f>F1164*G1164</f>
        <v>322</v>
      </c>
      <c r="I1164" s="53"/>
      <c r="J1164" s="54">
        <f>F1164*G1164</f>
        <v>322</v>
      </c>
    </row>
    <row r="1165" spans="1:10" ht="12.75">
      <c r="A1165" s="446" t="s">
        <v>698</v>
      </c>
      <c r="B1165" s="432" t="s">
        <v>406</v>
      </c>
      <c r="C1165" s="441">
        <v>88247</v>
      </c>
      <c r="D1165" s="447" t="s">
        <v>2343</v>
      </c>
      <c r="E1165" s="432" t="s">
        <v>740</v>
      </c>
      <c r="F1165" s="64">
        <v>0.2</v>
      </c>
      <c r="G1165" s="503">
        <v>26.96</v>
      </c>
      <c r="H1165" s="55"/>
      <c r="I1165" s="56">
        <f>F1165*G1165</f>
        <v>5.3920000000000003</v>
      </c>
      <c r="J1165" s="57">
        <f>F1165*G1165</f>
        <v>5.3920000000000003</v>
      </c>
    </row>
    <row r="1166" spans="1:10" ht="12.75">
      <c r="A1166" s="446" t="s">
        <v>698</v>
      </c>
      <c r="B1166" s="432" t="s">
        <v>406</v>
      </c>
      <c r="C1166" s="441">
        <v>88264</v>
      </c>
      <c r="D1166" s="447" t="s">
        <v>2342</v>
      </c>
      <c r="E1166" s="432" t="s">
        <v>740</v>
      </c>
      <c r="F1166" s="64">
        <v>0.2</v>
      </c>
      <c r="G1166" s="503">
        <v>32.99</v>
      </c>
      <c r="H1166" s="55"/>
      <c r="I1166" s="56">
        <f>F1166*G1166</f>
        <v>6.5980000000000008</v>
      </c>
      <c r="J1166" s="57">
        <f>F1166*G1166</f>
        <v>6.5980000000000008</v>
      </c>
    </row>
    <row r="1167" spans="1:10" ht="12.75">
      <c r="A1167" s="449"/>
      <c r="B1167" s="469"/>
      <c r="C1167" s="450"/>
      <c r="D1167" s="451" t="s">
        <v>696</v>
      </c>
      <c r="E1167" s="470"/>
      <c r="F1167" s="61"/>
      <c r="G1167" s="58"/>
      <c r="H1167" s="59">
        <f>SUM(H1164:H1166)</f>
        <v>322</v>
      </c>
      <c r="I1167" s="59">
        <f>SUM(I1164:I1166)</f>
        <v>11.990000000000002</v>
      </c>
      <c r="J1167" s="60">
        <f>SUM(J1164:J1166)</f>
        <v>333.99</v>
      </c>
    </row>
    <row r="1168" spans="1:10" ht="12.75">
      <c r="A1168" s="469" t="s">
        <v>1052</v>
      </c>
      <c r="B1168" s="1027" t="s">
        <v>2344</v>
      </c>
      <c r="C1168" s="1028"/>
      <c r="D1168" s="1028"/>
      <c r="E1168" s="457"/>
      <c r="F1168" s="457"/>
      <c r="G1168" s="457"/>
      <c r="H1168" s="457"/>
      <c r="I1168" s="457"/>
      <c r="J1168" s="458"/>
    </row>
    <row r="1170" spans="1:10" ht="25.5">
      <c r="A1170" s="463" t="s">
        <v>697</v>
      </c>
      <c r="B1170" s="440"/>
      <c r="C1170" s="438" t="s">
        <v>2354</v>
      </c>
      <c r="D1170" s="498" t="s">
        <v>912</v>
      </c>
      <c r="E1170" s="440" t="s">
        <v>411</v>
      </c>
      <c r="F1170" s="417" t="s">
        <v>692</v>
      </c>
      <c r="G1170" s="417" t="s">
        <v>693</v>
      </c>
      <c r="H1170" s="417" t="s">
        <v>694</v>
      </c>
      <c r="I1170" s="417" t="s">
        <v>695</v>
      </c>
      <c r="J1170" s="424" t="s">
        <v>696</v>
      </c>
    </row>
    <row r="1171" spans="1:10" ht="25.5">
      <c r="A1171" s="446" t="s">
        <v>699</v>
      </c>
      <c r="B1171" s="465" t="s">
        <v>409</v>
      </c>
      <c r="C1171" s="478" t="s">
        <v>2420</v>
      </c>
      <c r="D1171" s="579" t="s">
        <v>912</v>
      </c>
      <c r="E1171" s="411" t="s">
        <v>737</v>
      </c>
      <c r="F1171" s="62">
        <v>1</v>
      </c>
      <c r="G1171" s="503">
        <v>166</v>
      </c>
      <c r="H1171" s="52">
        <f>F1171*G1171</f>
        <v>166</v>
      </c>
      <c r="I1171" s="53"/>
      <c r="J1171" s="54">
        <f>F1171*G1171</f>
        <v>166</v>
      </c>
    </row>
    <row r="1172" spans="1:10" ht="12.75">
      <c r="A1172" s="446" t="s">
        <v>698</v>
      </c>
      <c r="B1172" s="432" t="s">
        <v>406</v>
      </c>
      <c r="C1172" s="441">
        <v>88247</v>
      </c>
      <c r="D1172" s="447" t="s">
        <v>2343</v>
      </c>
      <c r="E1172" s="432" t="s">
        <v>740</v>
      </c>
      <c r="F1172" s="64">
        <v>0.2</v>
      </c>
      <c r="G1172" s="503">
        <v>26.96</v>
      </c>
      <c r="H1172" s="55"/>
      <c r="I1172" s="56">
        <f>F1172*G1172</f>
        <v>5.3920000000000003</v>
      </c>
      <c r="J1172" s="57">
        <f>F1172*G1172</f>
        <v>5.3920000000000003</v>
      </c>
    </row>
    <row r="1173" spans="1:10" ht="12.75">
      <c r="A1173" s="446" t="s">
        <v>698</v>
      </c>
      <c r="B1173" s="432" t="s">
        <v>406</v>
      </c>
      <c r="C1173" s="441">
        <v>88264</v>
      </c>
      <c r="D1173" s="447" t="s">
        <v>2342</v>
      </c>
      <c r="E1173" s="432" t="s">
        <v>740</v>
      </c>
      <c r="F1173" s="64">
        <v>0.2</v>
      </c>
      <c r="G1173" s="503">
        <v>32.99</v>
      </c>
      <c r="H1173" s="55"/>
      <c r="I1173" s="56">
        <f>F1173*G1173</f>
        <v>6.5980000000000008</v>
      </c>
      <c r="J1173" s="57">
        <f>F1173*G1173</f>
        <v>6.5980000000000008</v>
      </c>
    </row>
    <row r="1174" spans="1:10" ht="12.75">
      <c r="A1174" s="449"/>
      <c r="B1174" s="469"/>
      <c r="C1174" s="450"/>
      <c r="D1174" s="451" t="s">
        <v>696</v>
      </c>
      <c r="E1174" s="470"/>
      <c r="F1174" s="61"/>
      <c r="G1174" s="58"/>
      <c r="H1174" s="59">
        <f>SUM(H1171:H1173)</f>
        <v>166</v>
      </c>
      <c r="I1174" s="59">
        <f>SUM(I1171:I1173)</f>
        <v>11.990000000000002</v>
      </c>
      <c r="J1174" s="60">
        <f>SUM(J1171:J1173)</f>
        <v>177.99</v>
      </c>
    </row>
    <row r="1175" spans="1:10" ht="12.75">
      <c r="A1175" s="469" t="s">
        <v>1052</v>
      </c>
      <c r="B1175" s="1027" t="s">
        <v>2344</v>
      </c>
      <c r="C1175" s="1028"/>
      <c r="D1175" s="1028"/>
      <c r="E1175" s="457"/>
      <c r="F1175" s="457"/>
      <c r="G1175" s="457"/>
      <c r="H1175" s="457"/>
      <c r="I1175" s="457"/>
      <c r="J1175" s="458"/>
    </row>
    <row r="1177" spans="1:10" ht="25.5">
      <c r="A1177" s="463" t="s">
        <v>697</v>
      </c>
      <c r="B1177" s="440"/>
      <c r="C1177" s="438" t="s">
        <v>2355</v>
      </c>
      <c r="D1177" s="498" t="s">
        <v>330</v>
      </c>
      <c r="E1177" s="440" t="s">
        <v>411</v>
      </c>
      <c r="F1177" s="417" t="s">
        <v>692</v>
      </c>
      <c r="G1177" s="417" t="s">
        <v>693</v>
      </c>
      <c r="H1177" s="417" t="s">
        <v>694</v>
      </c>
      <c r="I1177" s="417" t="s">
        <v>695</v>
      </c>
      <c r="J1177" s="424" t="s">
        <v>696</v>
      </c>
    </row>
    <row r="1178" spans="1:10" ht="25.5">
      <c r="A1178" s="446" t="s">
        <v>819</v>
      </c>
      <c r="B1178" s="465" t="s">
        <v>409</v>
      </c>
      <c r="C1178" s="478">
        <v>60981</v>
      </c>
      <c r="D1178" s="579" t="s">
        <v>330</v>
      </c>
      <c r="E1178" s="411" t="s">
        <v>737</v>
      </c>
      <c r="F1178" s="62">
        <v>1</v>
      </c>
      <c r="G1178" s="503">
        <v>450</v>
      </c>
      <c r="H1178" s="52">
        <f>F1178*G1178</f>
        <v>450</v>
      </c>
      <c r="I1178" s="53"/>
      <c r="J1178" s="54">
        <f>F1178*G1178</f>
        <v>450</v>
      </c>
    </row>
    <row r="1179" spans="1:10" ht="12.75">
      <c r="A1179" s="446" t="s">
        <v>698</v>
      </c>
      <c r="B1179" s="432" t="s">
        <v>406</v>
      </c>
      <c r="C1179" s="441">
        <v>88247</v>
      </c>
      <c r="D1179" s="447" t="s">
        <v>2343</v>
      </c>
      <c r="E1179" s="432" t="s">
        <v>740</v>
      </c>
      <c r="F1179" s="64">
        <v>0.2</v>
      </c>
      <c r="G1179" s="503">
        <v>26.96</v>
      </c>
      <c r="H1179" s="55"/>
      <c r="I1179" s="56">
        <f>F1179*G1179</f>
        <v>5.3920000000000003</v>
      </c>
      <c r="J1179" s="57">
        <f>F1179*G1179</f>
        <v>5.3920000000000003</v>
      </c>
    </row>
    <row r="1180" spans="1:10" ht="12.75">
      <c r="A1180" s="446" t="s">
        <v>698</v>
      </c>
      <c r="B1180" s="432" t="s">
        <v>406</v>
      </c>
      <c r="C1180" s="441">
        <v>88264</v>
      </c>
      <c r="D1180" s="447" t="s">
        <v>2342</v>
      </c>
      <c r="E1180" s="432" t="s">
        <v>740</v>
      </c>
      <c r="F1180" s="64">
        <v>0.2</v>
      </c>
      <c r="G1180" s="503">
        <v>32.99</v>
      </c>
      <c r="H1180" s="55"/>
      <c r="I1180" s="56">
        <f>F1180*G1180</f>
        <v>6.5980000000000008</v>
      </c>
      <c r="J1180" s="57">
        <f>F1180*G1180</f>
        <v>6.5980000000000008</v>
      </c>
    </row>
    <row r="1181" spans="1:10" ht="12.75">
      <c r="A1181" s="449"/>
      <c r="B1181" s="469"/>
      <c r="C1181" s="450"/>
      <c r="D1181" s="451" t="s">
        <v>696</v>
      </c>
      <c r="E1181" s="470"/>
      <c r="F1181" s="61"/>
      <c r="G1181" s="58"/>
      <c r="H1181" s="59">
        <f>SUM(H1178:H1180)</f>
        <v>450</v>
      </c>
      <c r="I1181" s="59">
        <f>SUM(I1178:I1180)</f>
        <v>11.990000000000002</v>
      </c>
      <c r="J1181" s="60">
        <f>SUM(J1178:J1180)</f>
        <v>461.99</v>
      </c>
    </row>
    <row r="1182" spans="1:10" ht="12.75">
      <c r="A1182" s="469" t="s">
        <v>1052</v>
      </c>
      <c r="B1182" s="1027" t="s">
        <v>2344</v>
      </c>
      <c r="C1182" s="1028"/>
      <c r="D1182" s="1028"/>
      <c r="E1182" s="457"/>
      <c r="F1182" s="457"/>
      <c r="G1182" s="457"/>
      <c r="H1182" s="457"/>
      <c r="I1182" s="457"/>
      <c r="J1182" s="458"/>
    </row>
    <row r="1184" spans="1:10" ht="25.5">
      <c r="A1184" s="463" t="s">
        <v>697</v>
      </c>
      <c r="B1184" s="440"/>
      <c r="C1184" s="438" t="s">
        <v>2356</v>
      </c>
      <c r="D1184" s="498" t="s">
        <v>331</v>
      </c>
      <c r="E1184" s="440" t="s">
        <v>411</v>
      </c>
      <c r="F1184" s="417" t="s">
        <v>692</v>
      </c>
      <c r="G1184" s="417" t="s">
        <v>693</v>
      </c>
      <c r="H1184" s="417" t="s">
        <v>694</v>
      </c>
      <c r="I1184" s="417" t="s">
        <v>695</v>
      </c>
      <c r="J1184" s="424" t="s">
        <v>696</v>
      </c>
    </row>
    <row r="1185" spans="1:10" ht="25.5">
      <c r="A1185" s="446" t="s">
        <v>819</v>
      </c>
      <c r="B1185" s="465" t="s">
        <v>409</v>
      </c>
      <c r="C1185" s="478">
        <v>13705</v>
      </c>
      <c r="D1185" s="579" t="s">
        <v>331</v>
      </c>
      <c r="E1185" s="411" t="s">
        <v>737</v>
      </c>
      <c r="F1185" s="62">
        <v>1</v>
      </c>
      <c r="G1185" s="503">
        <v>270</v>
      </c>
      <c r="H1185" s="52">
        <f>F1185*G1185</f>
        <v>270</v>
      </c>
      <c r="I1185" s="53"/>
      <c r="J1185" s="54">
        <f>F1185*G1185</f>
        <v>270</v>
      </c>
    </row>
    <row r="1186" spans="1:10" ht="12.75">
      <c r="A1186" s="446" t="s">
        <v>698</v>
      </c>
      <c r="B1186" s="432" t="s">
        <v>406</v>
      </c>
      <c r="C1186" s="441">
        <v>88247</v>
      </c>
      <c r="D1186" s="447" t="s">
        <v>2343</v>
      </c>
      <c r="E1186" s="432" t="s">
        <v>740</v>
      </c>
      <c r="F1186" s="64">
        <v>0.2</v>
      </c>
      <c r="G1186" s="503">
        <v>26.96</v>
      </c>
      <c r="H1186" s="55"/>
      <c r="I1186" s="56">
        <f>F1186*G1186</f>
        <v>5.3920000000000003</v>
      </c>
      <c r="J1186" s="57">
        <f>F1186*G1186</f>
        <v>5.3920000000000003</v>
      </c>
    </row>
    <row r="1187" spans="1:10" ht="12.75">
      <c r="A1187" s="446" t="s">
        <v>698</v>
      </c>
      <c r="B1187" s="432" t="s">
        <v>406</v>
      </c>
      <c r="C1187" s="441">
        <v>88264</v>
      </c>
      <c r="D1187" s="447" t="s">
        <v>2342</v>
      </c>
      <c r="E1187" s="432" t="s">
        <v>740</v>
      </c>
      <c r="F1187" s="64">
        <v>0.2</v>
      </c>
      <c r="G1187" s="503">
        <v>32.99</v>
      </c>
      <c r="H1187" s="55"/>
      <c r="I1187" s="56">
        <f>F1187*G1187</f>
        <v>6.5980000000000008</v>
      </c>
      <c r="J1187" s="57">
        <f>F1187*G1187</f>
        <v>6.5980000000000008</v>
      </c>
    </row>
    <row r="1188" spans="1:10" ht="12.75">
      <c r="A1188" s="449"/>
      <c r="B1188" s="469"/>
      <c r="C1188" s="450"/>
      <c r="D1188" s="451" t="s">
        <v>696</v>
      </c>
      <c r="E1188" s="470"/>
      <c r="F1188" s="61"/>
      <c r="G1188" s="58"/>
      <c r="H1188" s="59">
        <f>SUM(H1185:H1187)</f>
        <v>270</v>
      </c>
      <c r="I1188" s="59">
        <f>SUM(I1185:I1187)</f>
        <v>11.990000000000002</v>
      </c>
      <c r="J1188" s="60">
        <f>SUM(J1185:J1187)</f>
        <v>281.99</v>
      </c>
    </row>
    <row r="1189" spans="1:10" ht="12.75">
      <c r="A1189" s="469" t="s">
        <v>1052</v>
      </c>
      <c r="B1189" s="1027" t="s">
        <v>2344</v>
      </c>
      <c r="C1189" s="1028"/>
      <c r="D1189" s="1028"/>
      <c r="E1189" s="457"/>
      <c r="F1189" s="457"/>
      <c r="G1189" s="457"/>
      <c r="H1189" s="457"/>
      <c r="I1189" s="457"/>
      <c r="J1189" s="458"/>
    </row>
    <row r="1191" spans="1:10" ht="25.5">
      <c r="A1191" s="463" t="s">
        <v>697</v>
      </c>
      <c r="B1191" s="440"/>
      <c r="C1191" s="438" t="s">
        <v>2357</v>
      </c>
      <c r="D1191" s="498" t="s">
        <v>332</v>
      </c>
      <c r="E1191" s="440" t="s">
        <v>411</v>
      </c>
      <c r="F1191" s="417" t="s">
        <v>692</v>
      </c>
      <c r="G1191" s="417" t="s">
        <v>693</v>
      </c>
      <c r="H1191" s="417" t="s">
        <v>694</v>
      </c>
      <c r="I1191" s="417" t="s">
        <v>695</v>
      </c>
      <c r="J1191" s="424" t="s">
        <v>696</v>
      </c>
    </row>
    <row r="1192" spans="1:10" ht="25.5">
      <c r="A1192" s="446" t="s">
        <v>819</v>
      </c>
      <c r="B1192" s="465" t="s">
        <v>409</v>
      </c>
      <c r="C1192" s="478">
        <v>2854</v>
      </c>
      <c r="D1192" s="579" t="s">
        <v>332</v>
      </c>
      <c r="E1192" s="411" t="s">
        <v>737</v>
      </c>
      <c r="F1192" s="62">
        <v>1</v>
      </c>
      <c r="G1192" s="503">
        <v>250</v>
      </c>
      <c r="H1192" s="52">
        <f>F1192*G1192</f>
        <v>250</v>
      </c>
      <c r="I1192" s="53"/>
      <c r="J1192" s="54">
        <f>F1192*G1192</f>
        <v>250</v>
      </c>
    </row>
    <row r="1193" spans="1:10" ht="12.75">
      <c r="A1193" s="446" t="s">
        <v>698</v>
      </c>
      <c r="B1193" s="432" t="s">
        <v>406</v>
      </c>
      <c r="C1193" s="441">
        <v>88247</v>
      </c>
      <c r="D1193" s="447" t="s">
        <v>2343</v>
      </c>
      <c r="E1193" s="432" t="s">
        <v>740</v>
      </c>
      <c r="F1193" s="64">
        <v>0.2</v>
      </c>
      <c r="G1193" s="503">
        <v>26.96</v>
      </c>
      <c r="H1193" s="55"/>
      <c r="I1193" s="56">
        <f>F1193*G1193</f>
        <v>5.3920000000000003</v>
      </c>
      <c r="J1193" s="57">
        <f>F1193*G1193</f>
        <v>5.3920000000000003</v>
      </c>
    </row>
    <row r="1194" spans="1:10" ht="12.75">
      <c r="A1194" s="446" t="s">
        <v>698</v>
      </c>
      <c r="B1194" s="432" t="s">
        <v>406</v>
      </c>
      <c r="C1194" s="441">
        <v>88264</v>
      </c>
      <c r="D1194" s="447" t="s">
        <v>2342</v>
      </c>
      <c r="E1194" s="432" t="s">
        <v>740</v>
      </c>
      <c r="F1194" s="64">
        <v>0.2</v>
      </c>
      <c r="G1194" s="503">
        <v>32.99</v>
      </c>
      <c r="H1194" s="55"/>
      <c r="I1194" s="56">
        <f>F1194*G1194</f>
        <v>6.5980000000000008</v>
      </c>
      <c r="J1194" s="57">
        <f>F1194*G1194</f>
        <v>6.5980000000000008</v>
      </c>
    </row>
    <row r="1195" spans="1:10" ht="12.75">
      <c r="A1195" s="449"/>
      <c r="B1195" s="469"/>
      <c r="C1195" s="450"/>
      <c r="D1195" s="451" t="s">
        <v>696</v>
      </c>
      <c r="E1195" s="470"/>
      <c r="F1195" s="61"/>
      <c r="G1195" s="58"/>
      <c r="H1195" s="59">
        <f>SUM(H1192:H1194)</f>
        <v>250</v>
      </c>
      <c r="I1195" s="59">
        <f>SUM(I1192:I1194)</f>
        <v>11.990000000000002</v>
      </c>
      <c r="J1195" s="60">
        <f>SUM(J1192:J1194)</f>
        <v>261.99</v>
      </c>
    </row>
    <row r="1196" spans="1:10" ht="12.75">
      <c r="A1196" s="469" t="s">
        <v>1052</v>
      </c>
      <c r="B1196" s="1027" t="s">
        <v>2344</v>
      </c>
      <c r="C1196" s="1028"/>
      <c r="D1196" s="1028"/>
      <c r="E1196" s="457"/>
      <c r="F1196" s="457"/>
      <c r="G1196" s="457"/>
      <c r="H1196" s="457"/>
      <c r="I1196" s="457"/>
      <c r="J1196" s="458"/>
    </row>
    <row r="1198" spans="1:10" ht="12.75">
      <c r="A1198" s="463" t="s">
        <v>697</v>
      </c>
      <c r="B1198" s="440"/>
      <c r="C1198" s="438" t="s">
        <v>2358</v>
      </c>
      <c r="D1198" s="498" t="s">
        <v>2273</v>
      </c>
      <c r="E1198" s="440" t="s">
        <v>411</v>
      </c>
      <c r="F1198" s="417" t="s">
        <v>692</v>
      </c>
      <c r="G1198" s="417" t="s">
        <v>693</v>
      </c>
      <c r="H1198" s="417" t="s">
        <v>694</v>
      </c>
      <c r="I1198" s="417" t="s">
        <v>695</v>
      </c>
      <c r="J1198" s="424" t="s">
        <v>696</v>
      </c>
    </row>
    <row r="1199" spans="1:10" ht="12.75">
      <c r="A1199" s="446" t="s">
        <v>699</v>
      </c>
      <c r="B1199" s="465" t="s">
        <v>409</v>
      </c>
      <c r="C1199" s="478" t="s">
        <v>2420</v>
      </c>
      <c r="D1199" s="579" t="s">
        <v>2273</v>
      </c>
      <c r="E1199" s="411" t="s">
        <v>737</v>
      </c>
      <c r="F1199" s="62">
        <v>1</v>
      </c>
      <c r="G1199" s="503">
        <v>2820</v>
      </c>
      <c r="H1199" s="52">
        <f>F1199*G1199</f>
        <v>2820</v>
      </c>
      <c r="I1199" s="53"/>
      <c r="J1199" s="54">
        <f>F1199*G1199</f>
        <v>2820</v>
      </c>
    </row>
    <row r="1200" spans="1:10" ht="12.75">
      <c r="A1200" s="446" t="s">
        <v>698</v>
      </c>
      <c r="B1200" s="432" t="s">
        <v>406</v>
      </c>
      <c r="C1200" s="441">
        <v>88247</v>
      </c>
      <c r="D1200" s="447" t="s">
        <v>2343</v>
      </c>
      <c r="E1200" s="432" t="s">
        <v>740</v>
      </c>
      <c r="F1200" s="64">
        <v>4</v>
      </c>
      <c r="G1200" s="503">
        <v>26.96</v>
      </c>
      <c r="H1200" s="55"/>
      <c r="I1200" s="56">
        <f>F1200*G1200</f>
        <v>107.84</v>
      </c>
      <c r="J1200" s="57">
        <f>F1200*G1200</f>
        <v>107.84</v>
      </c>
    </row>
    <row r="1201" spans="1:10" ht="12.75">
      <c r="A1201" s="446" t="s">
        <v>698</v>
      </c>
      <c r="B1201" s="432" t="s">
        <v>406</v>
      </c>
      <c r="C1201" s="441">
        <v>88264</v>
      </c>
      <c r="D1201" s="447" t="s">
        <v>2342</v>
      </c>
      <c r="E1201" s="432" t="s">
        <v>740</v>
      </c>
      <c r="F1201" s="64">
        <v>4</v>
      </c>
      <c r="G1201" s="503">
        <v>32.99</v>
      </c>
      <c r="H1201" s="55"/>
      <c r="I1201" s="56">
        <f>F1201*G1201</f>
        <v>131.96</v>
      </c>
      <c r="J1201" s="57">
        <f>F1201*G1201</f>
        <v>131.96</v>
      </c>
    </row>
    <row r="1202" spans="1:10" ht="12.75">
      <c r="A1202" s="449"/>
      <c r="B1202" s="469"/>
      <c r="C1202" s="450"/>
      <c r="D1202" s="451" t="s">
        <v>696</v>
      </c>
      <c r="E1202" s="470"/>
      <c r="F1202" s="61"/>
      <c r="G1202" s="58"/>
      <c r="H1202" s="59">
        <f>SUM(H1199:H1201)</f>
        <v>2820</v>
      </c>
      <c r="I1202" s="59">
        <f>SUM(I1199:I1201)</f>
        <v>239.8</v>
      </c>
      <c r="J1202" s="60">
        <f>SUM(J1199:J1201)</f>
        <v>3059.8</v>
      </c>
    </row>
    <row r="1203" spans="1:10" ht="12.75">
      <c r="A1203" s="469" t="s">
        <v>1052</v>
      </c>
      <c r="B1203" s="1027" t="s">
        <v>1288</v>
      </c>
      <c r="C1203" s="1028"/>
      <c r="D1203" s="1028"/>
      <c r="E1203" s="457"/>
      <c r="F1203" s="457"/>
      <c r="G1203" s="457"/>
      <c r="H1203" s="457"/>
      <c r="I1203" s="457"/>
      <c r="J1203" s="458"/>
    </row>
    <row r="1205" spans="1:10" ht="12.75">
      <c r="A1205" s="463" t="s">
        <v>697</v>
      </c>
      <c r="B1205" s="463"/>
      <c r="C1205" s="438" t="s">
        <v>2359</v>
      </c>
      <c r="D1205" s="464" t="s">
        <v>971</v>
      </c>
      <c r="E1205" s="376" t="s">
        <v>411</v>
      </c>
      <c r="F1205" s="440" t="s">
        <v>692</v>
      </c>
      <c r="G1205" s="376" t="s">
        <v>693</v>
      </c>
      <c r="H1205" s="440" t="s">
        <v>694</v>
      </c>
      <c r="I1205" s="440" t="s">
        <v>695</v>
      </c>
      <c r="J1205" s="440" t="s">
        <v>696</v>
      </c>
    </row>
    <row r="1206" spans="1:10" ht="12.75">
      <c r="A1206" s="446" t="s">
        <v>699</v>
      </c>
      <c r="B1206" s="465" t="s">
        <v>409</v>
      </c>
      <c r="C1206" s="478" t="s">
        <v>2420</v>
      </c>
      <c r="D1206" s="469" t="s">
        <v>971</v>
      </c>
      <c r="E1206" s="55" t="s">
        <v>15</v>
      </c>
      <c r="F1206" s="51">
        <v>1</v>
      </c>
      <c r="G1206" s="466">
        <v>6</v>
      </c>
      <c r="H1206" s="52">
        <f>F1206*G1206</f>
        <v>6</v>
      </c>
      <c r="I1206" s="53"/>
      <c r="J1206" s="54">
        <f>F1206*G1206</f>
        <v>6</v>
      </c>
    </row>
    <row r="1207" spans="1:10" ht="12.75">
      <c r="A1207" s="446" t="s">
        <v>698</v>
      </c>
      <c r="B1207" s="465" t="s">
        <v>406</v>
      </c>
      <c r="C1207" s="441">
        <v>88248</v>
      </c>
      <c r="D1207" s="447" t="s">
        <v>739</v>
      </c>
      <c r="E1207" s="432" t="s">
        <v>740</v>
      </c>
      <c r="F1207" s="111">
        <v>0.13500000000000001</v>
      </c>
      <c r="G1207" s="605">
        <v>26.14</v>
      </c>
      <c r="H1207" s="52"/>
      <c r="I1207" s="56">
        <f>F1207*G1207</f>
        <v>3.5289000000000001</v>
      </c>
      <c r="J1207" s="54">
        <f t="shared" ref="J1207:J1208" si="65">F1207*G1207</f>
        <v>3.5289000000000001</v>
      </c>
    </row>
    <row r="1208" spans="1:10" ht="12.75">
      <c r="A1208" s="446" t="s">
        <v>698</v>
      </c>
      <c r="B1208" s="465" t="s">
        <v>406</v>
      </c>
      <c r="C1208" s="441">
        <v>88267</v>
      </c>
      <c r="D1208" s="447" t="s">
        <v>741</v>
      </c>
      <c r="E1208" s="432" t="s">
        <v>740</v>
      </c>
      <c r="F1208" s="111">
        <v>0.13500000000000001</v>
      </c>
      <c r="G1208" s="605">
        <v>32.130000000000003</v>
      </c>
      <c r="H1208" s="55"/>
      <c r="I1208" s="56">
        <f>F1208*G1208</f>
        <v>4.3375500000000002</v>
      </c>
      <c r="J1208" s="54">
        <f t="shared" si="65"/>
        <v>4.3375500000000002</v>
      </c>
    </row>
    <row r="1209" spans="1:10" ht="12.75">
      <c r="A1209" s="449"/>
      <c r="B1209" s="441"/>
      <c r="C1209" s="476"/>
      <c r="D1209" s="451" t="s">
        <v>696</v>
      </c>
      <c r="E1209" s="470"/>
      <c r="F1209" s="61"/>
      <c r="G1209" s="58"/>
      <c r="H1209" s="59">
        <f>SUM(H1206:H1208)</f>
        <v>6</v>
      </c>
      <c r="I1209" s="59">
        <f>SUM(I1206:I1208)</f>
        <v>7.8664500000000004</v>
      </c>
      <c r="J1209" s="60">
        <f>SUM(H1209:I1209)</f>
        <v>13.86645</v>
      </c>
    </row>
    <row r="1210" spans="1:10" ht="12.75">
      <c r="A1210" s="469" t="s">
        <v>1052</v>
      </c>
      <c r="B1210" s="1027" t="s">
        <v>1221</v>
      </c>
      <c r="C1210" s="1028"/>
      <c r="D1210" s="1028"/>
      <c r="E1210" s="457"/>
      <c r="F1210" s="457"/>
      <c r="G1210" s="457"/>
      <c r="H1210" s="457"/>
      <c r="I1210" s="457"/>
      <c r="J1210" s="458"/>
    </row>
    <row r="1212" spans="1:10" ht="12.75">
      <c r="A1212" s="463" t="s">
        <v>697</v>
      </c>
      <c r="B1212" s="463"/>
      <c r="C1212" s="438" t="s">
        <v>2360</v>
      </c>
      <c r="D1212" s="464" t="s">
        <v>972</v>
      </c>
      <c r="E1212" s="376" t="s">
        <v>411</v>
      </c>
      <c r="F1212" s="440" t="s">
        <v>692</v>
      </c>
      <c r="G1212" s="376" t="s">
        <v>693</v>
      </c>
      <c r="H1212" s="440" t="s">
        <v>694</v>
      </c>
      <c r="I1212" s="440" t="s">
        <v>695</v>
      </c>
      <c r="J1212" s="440" t="s">
        <v>696</v>
      </c>
    </row>
    <row r="1213" spans="1:10" ht="12.75">
      <c r="A1213" s="446" t="s">
        <v>699</v>
      </c>
      <c r="B1213" s="465" t="s">
        <v>409</v>
      </c>
      <c r="C1213" s="478" t="s">
        <v>2420</v>
      </c>
      <c r="D1213" s="469" t="s">
        <v>972</v>
      </c>
      <c r="E1213" s="55" t="s">
        <v>15</v>
      </c>
      <c r="F1213" s="51">
        <v>1</v>
      </c>
      <c r="G1213" s="466">
        <v>9.8000000000000007</v>
      </c>
      <c r="H1213" s="52">
        <f>F1213*G1213</f>
        <v>9.8000000000000007</v>
      </c>
      <c r="I1213" s="53"/>
      <c r="J1213" s="54">
        <f>F1213*G1213</f>
        <v>9.8000000000000007</v>
      </c>
    </row>
    <row r="1214" spans="1:10" ht="12.75">
      <c r="A1214" s="446" t="s">
        <v>698</v>
      </c>
      <c r="B1214" s="465" t="s">
        <v>406</v>
      </c>
      <c r="C1214" s="441">
        <v>88248</v>
      </c>
      <c r="D1214" s="447" t="s">
        <v>739</v>
      </c>
      <c r="E1214" s="432" t="s">
        <v>740</v>
      </c>
      <c r="F1214" s="111">
        <v>0.13500000000000001</v>
      </c>
      <c r="G1214" s="605">
        <v>26.14</v>
      </c>
      <c r="H1214" s="52"/>
      <c r="I1214" s="56">
        <f>F1214*G1214</f>
        <v>3.5289000000000001</v>
      </c>
      <c r="J1214" s="54">
        <f t="shared" ref="J1214:J1215" si="66">F1214*G1214</f>
        <v>3.5289000000000001</v>
      </c>
    </row>
    <row r="1215" spans="1:10" ht="12.75">
      <c r="A1215" s="446" t="s">
        <v>698</v>
      </c>
      <c r="B1215" s="465" t="s">
        <v>406</v>
      </c>
      <c r="C1215" s="441">
        <v>88267</v>
      </c>
      <c r="D1215" s="447" t="s">
        <v>741</v>
      </c>
      <c r="E1215" s="432" t="s">
        <v>740</v>
      </c>
      <c r="F1215" s="111">
        <v>0.13500000000000001</v>
      </c>
      <c r="G1215" s="605">
        <v>32.130000000000003</v>
      </c>
      <c r="H1215" s="55"/>
      <c r="I1215" s="56">
        <f>F1215*G1215</f>
        <v>4.3375500000000002</v>
      </c>
      <c r="J1215" s="54">
        <f t="shared" si="66"/>
        <v>4.3375500000000002</v>
      </c>
    </row>
    <row r="1216" spans="1:10" ht="12.75">
      <c r="A1216" s="449"/>
      <c r="B1216" s="441"/>
      <c r="C1216" s="476"/>
      <c r="D1216" s="451" t="s">
        <v>696</v>
      </c>
      <c r="E1216" s="470"/>
      <c r="F1216" s="61"/>
      <c r="G1216" s="58"/>
      <c r="H1216" s="59">
        <f>SUM(H1213:H1215)</f>
        <v>9.8000000000000007</v>
      </c>
      <c r="I1216" s="59">
        <f>SUM(I1213:I1215)</f>
        <v>7.8664500000000004</v>
      </c>
      <c r="J1216" s="60">
        <f>SUM(H1216:I1216)</f>
        <v>17.666450000000001</v>
      </c>
    </row>
    <row r="1217" spans="1:10" ht="12.75">
      <c r="A1217" s="469" t="s">
        <v>1052</v>
      </c>
      <c r="B1217" s="1027" t="s">
        <v>1221</v>
      </c>
      <c r="C1217" s="1028"/>
      <c r="D1217" s="1028"/>
      <c r="E1217" s="457"/>
      <c r="F1217" s="457"/>
      <c r="G1217" s="457"/>
      <c r="H1217" s="457"/>
      <c r="I1217" s="457"/>
      <c r="J1217" s="458"/>
    </row>
    <row r="1219" spans="1:10" ht="12.75">
      <c r="A1219" s="463" t="s">
        <v>697</v>
      </c>
      <c r="B1219" s="463"/>
      <c r="C1219" s="438" t="s">
        <v>2361</v>
      </c>
      <c r="D1219" s="464" t="s">
        <v>973</v>
      </c>
      <c r="E1219" s="376" t="s">
        <v>411</v>
      </c>
      <c r="F1219" s="440" t="s">
        <v>692</v>
      </c>
      <c r="G1219" s="376" t="s">
        <v>693</v>
      </c>
      <c r="H1219" s="440" t="s">
        <v>694</v>
      </c>
      <c r="I1219" s="440" t="s">
        <v>695</v>
      </c>
      <c r="J1219" s="440" t="s">
        <v>696</v>
      </c>
    </row>
    <row r="1220" spans="1:10" ht="12.75">
      <c r="A1220" s="446" t="s">
        <v>699</v>
      </c>
      <c r="B1220" s="465" t="s">
        <v>409</v>
      </c>
      <c r="C1220" s="478" t="s">
        <v>2420</v>
      </c>
      <c r="D1220" s="469" t="s">
        <v>973</v>
      </c>
      <c r="E1220" s="55" t="s">
        <v>15</v>
      </c>
      <c r="F1220" s="51">
        <v>1</v>
      </c>
      <c r="G1220" s="466">
        <v>12.1</v>
      </c>
      <c r="H1220" s="52">
        <f>F1220*G1220</f>
        <v>12.1</v>
      </c>
      <c r="I1220" s="53"/>
      <c r="J1220" s="54">
        <f>F1220*G1220</f>
        <v>12.1</v>
      </c>
    </row>
    <row r="1221" spans="1:10" ht="12.75">
      <c r="A1221" s="446" t="s">
        <v>698</v>
      </c>
      <c r="B1221" s="465" t="s">
        <v>406</v>
      </c>
      <c r="C1221" s="441">
        <v>88248</v>
      </c>
      <c r="D1221" s="447" t="s">
        <v>739</v>
      </c>
      <c r="E1221" s="432" t="s">
        <v>740</v>
      </c>
      <c r="F1221" s="111">
        <v>0.13500000000000001</v>
      </c>
      <c r="G1221" s="605">
        <v>26.14</v>
      </c>
      <c r="H1221" s="52"/>
      <c r="I1221" s="56">
        <f>F1221*G1221</f>
        <v>3.5289000000000001</v>
      </c>
      <c r="J1221" s="54">
        <f t="shared" ref="J1221:J1222" si="67">F1221*G1221</f>
        <v>3.5289000000000001</v>
      </c>
    </row>
    <row r="1222" spans="1:10" ht="12.75">
      <c r="A1222" s="446" t="s">
        <v>698</v>
      </c>
      <c r="B1222" s="465" t="s">
        <v>406</v>
      </c>
      <c r="C1222" s="441">
        <v>88267</v>
      </c>
      <c r="D1222" s="447" t="s">
        <v>741</v>
      </c>
      <c r="E1222" s="432" t="s">
        <v>740</v>
      </c>
      <c r="F1222" s="111">
        <v>0.13500000000000001</v>
      </c>
      <c r="G1222" s="605">
        <v>32.130000000000003</v>
      </c>
      <c r="H1222" s="55"/>
      <c r="I1222" s="56">
        <f>F1222*G1222</f>
        <v>4.3375500000000002</v>
      </c>
      <c r="J1222" s="54">
        <f t="shared" si="67"/>
        <v>4.3375500000000002</v>
      </c>
    </row>
    <row r="1223" spans="1:10" ht="12.75">
      <c r="A1223" s="449"/>
      <c r="B1223" s="441"/>
      <c r="C1223" s="476"/>
      <c r="D1223" s="451" t="s">
        <v>696</v>
      </c>
      <c r="E1223" s="470"/>
      <c r="F1223" s="61"/>
      <c r="G1223" s="58"/>
      <c r="H1223" s="59">
        <f>SUM(H1220:H1222)</f>
        <v>12.1</v>
      </c>
      <c r="I1223" s="59">
        <f>SUM(I1220:I1222)</f>
        <v>7.8664500000000004</v>
      </c>
      <c r="J1223" s="60">
        <f>SUM(H1223:I1223)</f>
        <v>19.966450000000002</v>
      </c>
    </row>
    <row r="1224" spans="1:10" ht="12.75">
      <c r="A1224" s="469" t="s">
        <v>1052</v>
      </c>
      <c r="B1224" s="1027" t="s">
        <v>1221</v>
      </c>
      <c r="C1224" s="1028"/>
      <c r="D1224" s="1028"/>
      <c r="E1224" s="457"/>
      <c r="F1224" s="457"/>
      <c r="G1224" s="457"/>
      <c r="H1224" s="457"/>
      <c r="I1224" s="457"/>
      <c r="J1224" s="458"/>
    </row>
    <row r="1226" spans="1:10" ht="12.75">
      <c r="A1226" s="463" t="s">
        <v>697</v>
      </c>
      <c r="B1226" s="463"/>
      <c r="C1226" s="438" t="s">
        <v>2362</v>
      </c>
      <c r="D1226" s="464" t="s">
        <v>974</v>
      </c>
      <c r="E1226" s="376" t="s">
        <v>411</v>
      </c>
      <c r="F1226" s="440" t="s">
        <v>692</v>
      </c>
      <c r="G1226" s="376" t="s">
        <v>693</v>
      </c>
      <c r="H1226" s="440" t="s">
        <v>694</v>
      </c>
      <c r="I1226" s="440" t="s">
        <v>695</v>
      </c>
      <c r="J1226" s="440" t="s">
        <v>696</v>
      </c>
    </row>
    <row r="1227" spans="1:10" ht="12.75">
      <c r="A1227" s="446" t="s">
        <v>699</v>
      </c>
      <c r="B1227" s="465" t="s">
        <v>409</v>
      </c>
      <c r="C1227" s="478" t="s">
        <v>2420</v>
      </c>
      <c r="D1227" s="469" t="s">
        <v>974</v>
      </c>
      <c r="E1227" s="55" t="s">
        <v>15</v>
      </c>
      <c r="F1227" s="51">
        <v>1</v>
      </c>
      <c r="G1227" s="466">
        <v>15.1</v>
      </c>
      <c r="H1227" s="52">
        <f>F1227*G1227</f>
        <v>15.1</v>
      </c>
      <c r="I1227" s="53"/>
      <c r="J1227" s="54">
        <f>F1227*G1227</f>
        <v>15.1</v>
      </c>
    </row>
    <row r="1228" spans="1:10" ht="12.75">
      <c r="A1228" s="446" t="s">
        <v>698</v>
      </c>
      <c r="B1228" s="465" t="s">
        <v>406</v>
      </c>
      <c r="C1228" s="441">
        <v>88248</v>
      </c>
      <c r="D1228" s="447" t="s">
        <v>739</v>
      </c>
      <c r="E1228" s="432" t="s">
        <v>740</v>
      </c>
      <c r="F1228" s="111">
        <v>0.13500000000000001</v>
      </c>
      <c r="G1228" s="605">
        <v>26.14</v>
      </c>
      <c r="H1228" s="52"/>
      <c r="I1228" s="56">
        <f>F1228*G1228</f>
        <v>3.5289000000000001</v>
      </c>
      <c r="J1228" s="54">
        <f t="shared" ref="J1228:J1229" si="68">F1228*G1228</f>
        <v>3.5289000000000001</v>
      </c>
    </row>
    <row r="1229" spans="1:10" ht="12.75">
      <c r="A1229" s="446" t="s">
        <v>698</v>
      </c>
      <c r="B1229" s="465" t="s">
        <v>406</v>
      </c>
      <c r="C1229" s="441">
        <v>88267</v>
      </c>
      <c r="D1229" s="447" t="s">
        <v>741</v>
      </c>
      <c r="E1229" s="432" t="s">
        <v>740</v>
      </c>
      <c r="F1229" s="111">
        <v>0.13500000000000001</v>
      </c>
      <c r="G1229" s="605">
        <v>32.130000000000003</v>
      </c>
      <c r="H1229" s="55"/>
      <c r="I1229" s="56">
        <f>F1229*G1229</f>
        <v>4.3375500000000002</v>
      </c>
      <c r="J1229" s="54">
        <f t="shared" si="68"/>
        <v>4.3375500000000002</v>
      </c>
    </row>
    <row r="1230" spans="1:10" ht="12.75">
      <c r="A1230" s="449"/>
      <c r="B1230" s="441"/>
      <c r="C1230" s="476"/>
      <c r="D1230" s="451" t="s">
        <v>696</v>
      </c>
      <c r="E1230" s="470"/>
      <c r="F1230" s="61"/>
      <c r="G1230" s="58"/>
      <c r="H1230" s="59">
        <f>SUM(H1227:H1229)</f>
        <v>15.1</v>
      </c>
      <c r="I1230" s="59">
        <f>SUM(I1227:I1229)</f>
        <v>7.8664500000000004</v>
      </c>
      <c r="J1230" s="60">
        <f>SUM(H1230:I1230)</f>
        <v>22.966450000000002</v>
      </c>
    </row>
    <row r="1231" spans="1:10" ht="12.75">
      <c r="A1231" s="469" t="s">
        <v>1052</v>
      </c>
      <c r="B1231" s="1027" t="s">
        <v>1221</v>
      </c>
      <c r="C1231" s="1028"/>
      <c r="D1231" s="1028"/>
      <c r="E1231" s="457"/>
      <c r="F1231" s="457"/>
      <c r="G1231" s="457"/>
      <c r="H1231" s="457"/>
      <c r="I1231" s="457"/>
      <c r="J1231" s="458"/>
    </row>
    <row r="1233" spans="1:10" ht="12.75">
      <c r="A1233" s="463" t="s">
        <v>697</v>
      </c>
      <c r="B1233" s="463"/>
      <c r="C1233" s="438" t="s">
        <v>2363</v>
      </c>
      <c r="D1233" s="464" t="s">
        <v>975</v>
      </c>
      <c r="E1233" s="376" t="s">
        <v>411</v>
      </c>
      <c r="F1233" s="440" t="s">
        <v>692</v>
      </c>
      <c r="G1233" s="376" t="s">
        <v>693</v>
      </c>
      <c r="H1233" s="440" t="s">
        <v>694</v>
      </c>
      <c r="I1233" s="440" t="s">
        <v>695</v>
      </c>
      <c r="J1233" s="440" t="s">
        <v>696</v>
      </c>
    </row>
    <row r="1234" spans="1:10" ht="12.75">
      <c r="A1234" s="446" t="s">
        <v>699</v>
      </c>
      <c r="B1234" s="465" t="s">
        <v>409</v>
      </c>
      <c r="C1234" s="478" t="s">
        <v>2420</v>
      </c>
      <c r="D1234" s="469" t="s">
        <v>975</v>
      </c>
      <c r="E1234" s="55" t="s">
        <v>15</v>
      </c>
      <c r="F1234" s="51">
        <v>1</v>
      </c>
      <c r="G1234" s="466">
        <v>14.2</v>
      </c>
      <c r="H1234" s="52">
        <f>F1234*G1234</f>
        <v>14.2</v>
      </c>
      <c r="I1234" s="53"/>
      <c r="J1234" s="54">
        <f>F1234*G1234</f>
        <v>14.2</v>
      </c>
    </row>
    <row r="1235" spans="1:10" ht="12.75">
      <c r="A1235" s="446" t="s">
        <v>698</v>
      </c>
      <c r="B1235" s="465" t="s">
        <v>406</v>
      </c>
      <c r="C1235" s="441">
        <v>88248</v>
      </c>
      <c r="D1235" s="447" t="s">
        <v>739</v>
      </c>
      <c r="E1235" s="432" t="s">
        <v>740</v>
      </c>
      <c r="F1235" s="111">
        <v>0.13500000000000001</v>
      </c>
      <c r="G1235" s="605">
        <v>26.14</v>
      </c>
      <c r="H1235" s="52"/>
      <c r="I1235" s="56">
        <f>F1235*G1235</f>
        <v>3.5289000000000001</v>
      </c>
      <c r="J1235" s="54">
        <f t="shared" ref="J1235:J1236" si="69">F1235*G1235</f>
        <v>3.5289000000000001</v>
      </c>
    </row>
    <row r="1236" spans="1:10" ht="12.75">
      <c r="A1236" s="446" t="s">
        <v>698</v>
      </c>
      <c r="B1236" s="465" t="s">
        <v>406</v>
      </c>
      <c r="C1236" s="441">
        <v>88267</v>
      </c>
      <c r="D1236" s="447" t="s">
        <v>741</v>
      </c>
      <c r="E1236" s="432" t="s">
        <v>740</v>
      </c>
      <c r="F1236" s="111">
        <v>0.13500000000000001</v>
      </c>
      <c r="G1236" s="605">
        <v>32.130000000000003</v>
      </c>
      <c r="H1236" s="55"/>
      <c r="I1236" s="56">
        <f>F1236*G1236</f>
        <v>4.3375500000000002</v>
      </c>
      <c r="J1236" s="54">
        <f t="shared" si="69"/>
        <v>4.3375500000000002</v>
      </c>
    </row>
    <row r="1237" spans="1:10" ht="12.75">
      <c r="A1237" s="449"/>
      <c r="B1237" s="441"/>
      <c r="C1237" s="476"/>
      <c r="D1237" s="451" t="s">
        <v>696</v>
      </c>
      <c r="E1237" s="470"/>
      <c r="F1237" s="61"/>
      <c r="G1237" s="58"/>
      <c r="H1237" s="59">
        <f>SUM(H1234:H1236)</f>
        <v>14.2</v>
      </c>
      <c r="I1237" s="59">
        <f>SUM(I1234:I1236)</f>
        <v>7.8664500000000004</v>
      </c>
      <c r="J1237" s="60">
        <f>SUM(H1237:I1237)</f>
        <v>22.06645</v>
      </c>
    </row>
    <row r="1238" spans="1:10" ht="12.75">
      <c r="A1238" s="469" t="s">
        <v>1052</v>
      </c>
      <c r="B1238" s="1027" t="s">
        <v>1221</v>
      </c>
      <c r="C1238" s="1028"/>
      <c r="D1238" s="1028"/>
      <c r="E1238" s="457"/>
      <c r="F1238" s="457"/>
      <c r="G1238" s="457"/>
      <c r="H1238" s="457"/>
      <c r="I1238" s="457"/>
      <c r="J1238" s="458"/>
    </row>
    <row r="1240" spans="1:10" ht="12.75">
      <c r="A1240" s="463" t="s">
        <v>697</v>
      </c>
      <c r="B1240" s="463"/>
      <c r="C1240" s="438" t="s">
        <v>2364</v>
      </c>
      <c r="D1240" s="464" t="s">
        <v>976</v>
      </c>
      <c r="E1240" s="376" t="s">
        <v>411</v>
      </c>
      <c r="F1240" s="440" t="s">
        <v>692</v>
      </c>
      <c r="G1240" s="376" t="s">
        <v>693</v>
      </c>
      <c r="H1240" s="440" t="s">
        <v>694</v>
      </c>
      <c r="I1240" s="440" t="s">
        <v>695</v>
      </c>
      <c r="J1240" s="440" t="s">
        <v>696</v>
      </c>
    </row>
    <row r="1241" spans="1:10" ht="12.75">
      <c r="A1241" s="446" t="s">
        <v>699</v>
      </c>
      <c r="B1241" s="465" t="s">
        <v>409</v>
      </c>
      <c r="C1241" s="478" t="s">
        <v>2420</v>
      </c>
      <c r="D1241" s="469" t="s">
        <v>976</v>
      </c>
      <c r="E1241" s="55" t="s">
        <v>15</v>
      </c>
      <c r="F1241" s="51">
        <v>1</v>
      </c>
      <c r="G1241" s="466">
        <v>15.8</v>
      </c>
      <c r="H1241" s="52">
        <f>F1241*G1241</f>
        <v>15.8</v>
      </c>
      <c r="I1241" s="53"/>
      <c r="J1241" s="54">
        <f>F1241*G1241</f>
        <v>15.8</v>
      </c>
    </row>
    <row r="1242" spans="1:10" ht="12.75">
      <c r="A1242" s="446" t="s">
        <v>698</v>
      </c>
      <c r="B1242" s="465" t="s">
        <v>406</v>
      </c>
      <c r="C1242" s="441">
        <v>88248</v>
      </c>
      <c r="D1242" s="447" t="s">
        <v>739</v>
      </c>
      <c r="E1242" s="432" t="s">
        <v>740</v>
      </c>
      <c r="F1242" s="111">
        <v>0.13500000000000001</v>
      </c>
      <c r="G1242" s="605">
        <v>26.14</v>
      </c>
      <c r="H1242" s="52"/>
      <c r="I1242" s="56">
        <f>F1242*G1242</f>
        <v>3.5289000000000001</v>
      </c>
      <c r="J1242" s="54">
        <f t="shared" ref="J1242:J1243" si="70">F1242*G1242</f>
        <v>3.5289000000000001</v>
      </c>
    </row>
    <row r="1243" spans="1:10" ht="12.75">
      <c r="A1243" s="446" t="s">
        <v>698</v>
      </c>
      <c r="B1243" s="465" t="s">
        <v>406</v>
      </c>
      <c r="C1243" s="441">
        <v>88267</v>
      </c>
      <c r="D1243" s="447" t="s">
        <v>741</v>
      </c>
      <c r="E1243" s="432" t="s">
        <v>740</v>
      </c>
      <c r="F1243" s="111">
        <v>0.13500000000000001</v>
      </c>
      <c r="G1243" s="605">
        <v>32.130000000000003</v>
      </c>
      <c r="H1243" s="55"/>
      <c r="I1243" s="56">
        <f>F1243*G1243</f>
        <v>4.3375500000000002</v>
      </c>
      <c r="J1243" s="54">
        <f t="shared" si="70"/>
        <v>4.3375500000000002</v>
      </c>
    </row>
    <row r="1244" spans="1:10" ht="12.75">
      <c r="A1244" s="449"/>
      <c r="B1244" s="441"/>
      <c r="C1244" s="476"/>
      <c r="D1244" s="451" t="s">
        <v>696</v>
      </c>
      <c r="E1244" s="470"/>
      <c r="F1244" s="61"/>
      <c r="G1244" s="58"/>
      <c r="H1244" s="59">
        <f>SUM(H1241:H1243)</f>
        <v>15.8</v>
      </c>
      <c r="I1244" s="59">
        <f>SUM(I1241:I1243)</f>
        <v>7.8664500000000004</v>
      </c>
      <c r="J1244" s="60">
        <f>SUM(H1244:I1244)</f>
        <v>23.666450000000001</v>
      </c>
    </row>
    <row r="1245" spans="1:10" ht="12.75">
      <c r="A1245" s="469" t="s">
        <v>1052</v>
      </c>
      <c r="B1245" s="1027" t="s">
        <v>1221</v>
      </c>
      <c r="C1245" s="1028"/>
      <c r="D1245" s="1028"/>
      <c r="E1245" s="457"/>
      <c r="F1245" s="457"/>
      <c r="G1245" s="457"/>
      <c r="H1245" s="457"/>
      <c r="I1245" s="457"/>
      <c r="J1245" s="458"/>
    </row>
    <row r="1247" spans="1:10" ht="12.75">
      <c r="A1247" s="463" t="s">
        <v>697</v>
      </c>
      <c r="B1247" s="463"/>
      <c r="C1247" s="438" t="s">
        <v>2365</v>
      </c>
      <c r="D1247" s="464" t="s">
        <v>977</v>
      </c>
      <c r="E1247" s="376" t="s">
        <v>411</v>
      </c>
      <c r="F1247" s="440" t="s">
        <v>692</v>
      </c>
      <c r="G1247" s="376" t="s">
        <v>693</v>
      </c>
      <c r="H1247" s="440" t="s">
        <v>694</v>
      </c>
      <c r="I1247" s="440" t="s">
        <v>695</v>
      </c>
      <c r="J1247" s="440" t="s">
        <v>696</v>
      </c>
    </row>
    <row r="1248" spans="1:10" ht="12.75">
      <c r="A1248" s="446" t="s">
        <v>699</v>
      </c>
      <c r="B1248" s="465" t="s">
        <v>409</v>
      </c>
      <c r="C1248" s="478" t="s">
        <v>2420</v>
      </c>
      <c r="D1248" s="469" t="s">
        <v>977</v>
      </c>
      <c r="E1248" s="55" t="s">
        <v>15</v>
      </c>
      <c r="F1248" s="51">
        <v>1</v>
      </c>
      <c r="G1248" s="466">
        <v>18.5</v>
      </c>
      <c r="H1248" s="52">
        <f>F1248*G1248</f>
        <v>18.5</v>
      </c>
      <c r="I1248" s="53"/>
      <c r="J1248" s="54">
        <f>F1248*G1248</f>
        <v>18.5</v>
      </c>
    </row>
    <row r="1249" spans="1:10" ht="12.75">
      <c r="A1249" s="446" t="s">
        <v>698</v>
      </c>
      <c r="B1249" s="465" t="s">
        <v>406</v>
      </c>
      <c r="C1249" s="441">
        <v>88248</v>
      </c>
      <c r="D1249" s="447" t="s">
        <v>739</v>
      </c>
      <c r="E1249" s="432" t="s">
        <v>740</v>
      </c>
      <c r="F1249" s="111">
        <v>0.13500000000000001</v>
      </c>
      <c r="G1249" s="605">
        <v>26.14</v>
      </c>
      <c r="H1249" s="52"/>
      <c r="I1249" s="56">
        <f>F1249*G1249</f>
        <v>3.5289000000000001</v>
      </c>
      <c r="J1249" s="54">
        <f t="shared" ref="J1249:J1250" si="71">F1249*G1249</f>
        <v>3.5289000000000001</v>
      </c>
    </row>
    <row r="1250" spans="1:10" ht="12.75">
      <c r="A1250" s="446" t="s">
        <v>698</v>
      </c>
      <c r="B1250" s="465" t="s">
        <v>406</v>
      </c>
      <c r="C1250" s="441">
        <v>88267</v>
      </c>
      <c r="D1250" s="447" t="s">
        <v>741</v>
      </c>
      <c r="E1250" s="432" t="s">
        <v>740</v>
      </c>
      <c r="F1250" s="111">
        <v>0.13500000000000001</v>
      </c>
      <c r="G1250" s="605">
        <v>32.130000000000003</v>
      </c>
      <c r="H1250" s="55"/>
      <c r="I1250" s="56">
        <f>F1250*G1250</f>
        <v>4.3375500000000002</v>
      </c>
      <c r="J1250" s="54">
        <f t="shared" si="71"/>
        <v>4.3375500000000002</v>
      </c>
    </row>
    <row r="1251" spans="1:10" ht="12.75">
      <c r="A1251" s="449"/>
      <c r="B1251" s="441"/>
      <c r="C1251" s="476"/>
      <c r="D1251" s="451" t="s">
        <v>696</v>
      </c>
      <c r="E1251" s="470"/>
      <c r="F1251" s="61"/>
      <c r="G1251" s="58"/>
      <c r="H1251" s="59">
        <f>SUM(H1248:H1250)</f>
        <v>18.5</v>
      </c>
      <c r="I1251" s="59">
        <f>SUM(I1248:I1250)</f>
        <v>7.8664500000000004</v>
      </c>
      <c r="J1251" s="60">
        <f>SUM(H1251:I1251)</f>
        <v>26.36645</v>
      </c>
    </row>
    <row r="1252" spans="1:10" ht="12.75">
      <c r="A1252" s="469" t="s">
        <v>1052</v>
      </c>
      <c r="B1252" s="1027" t="s">
        <v>1221</v>
      </c>
      <c r="C1252" s="1028"/>
      <c r="D1252" s="1028"/>
      <c r="E1252" s="457"/>
      <c r="F1252" s="457"/>
      <c r="G1252" s="457"/>
      <c r="H1252" s="457"/>
      <c r="I1252" s="457"/>
      <c r="J1252" s="458"/>
    </row>
    <row r="1254" spans="1:10" ht="12.75">
      <c r="A1254" s="463" t="s">
        <v>697</v>
      </c>
      <c r="B1254" s="463"/>
      <c r="C1254" s="438" t="s">
        <v>2366</v>
      </c>
      <c r="D1254" s="464" t="s">
        <v>978</v>
      </c>
      <c r="E1254" s="376" t="s">
        <v>411</v>
      </c>
      <c r="F1254" s="440" t="s">
        <v>692</v>
      </c>
      <c r="G1254" s="376" t="s">
        <v>693</v>
      </c>
      <c r="H1254" s="440" t="s">
        <v>694</v>
      </c>
      <c r="I1254" s="440" t="s">
        <v>695</v>
      </c>
      <c r="J1254" s="440" t="s">
        <v>696</v>
      </c>
    </row>
    <row r="1255" spans="1:10" ht="12.75">
      <c r="A1255" s="446" t="s">
        <v>699</v>
      </c>
      <c r="B1255" s="465" t="s">
        <v>409</v>
      </c>
      <c r="C1255" s="478" t="s">
        <v>2420</v>
      </c>
      <c r="D1255" s="469" t="s">
        <v>978</v>
      </c>
      <c r="E1255" s="55" t="s">
        <v>15</v>
      </c>
      <c r="F1255" s="51">
        <v>1</v>
      </c>
      <c r="G1255" s="466">
        <v>54</v>
      </c>
      <c r="H1255" s="52">
        <f>F1255*G1255</f>
        <v>54</v>
      </c>
      <c r="I1255" s="53"/>
      <c r="J1255" s="54">
        <f>F1255*G1255</f>
        <v>54</v>
      </c>
    </row>
    <row r="1256" spans="1:10" ht="12.75">
      <c r="A1256" s="446" t="s">
        <v>698</v>
      </c>
      <c r="B1256" s="465" t="s">
        <v>406</v>
      </c>
      <c r="C1256" s="441">
        <v>88248</v>
      </c>
      <c r="D1256" s="447" t="s">
        <v>739</v>
      </c>
      <c r="E1256" s="432" t="s">
        <v>740</v>
      </c>
      <c r="F1256" s="111">
        <v>0.13500000000000001</v>
      </c>
      <c r="G1256" s="605">
        <v>26.14</v>
      </c>
      <c r="H1256" s="52"/>
      <c r="I1256" s="56">
        <f>F1256*G1256</f>
        <v>3.5289000000000001</v>
      </c>
      <c r="J1256" s="54">
        <f t="shared" ref="J1256:J1257" si="72">F1256*G1256</f>
        <v>3.5289000000000001</v>
      </c>
    </row>
    <row r="1257" spans="1:10" ht="12.75">
      <c r="A1257" s="446" t="s">
        <v>698</v>
      </c>
      <c r="B1257" s="465" t="s">
        <v>406</v>
      </c>
      <c r="C1257" s="441">
        <v>88267</v>
      </c>
      <c r="D1257" s="447" t="s">
        <v>741</v>
      </c>
      <c r="E1257" s="432" t="s">
        <v>740</v>
      </c>
      <c r="F1257" s="111">
        <v>0.13500000000000001</v>
      </c>
      <c r="G1257" s="605">
        <v>32.130000000000003</v>
      </c>
      <c r="H1257" s="55"/>
      <c r="I1257" s="56">
        <f>F1257*G1257</f>
        <v>4.3375500000000002</v>
      </c>
      <c r="J1257" s="54">
        <f t="shared" si="72"/>
        <v>4.3375500000000002</v>
      </c>
    </row>
    <row r="1258" spans="1:10" ht="12.75">
      <c r="A1258" s="449"/>
      <c r="B1258" s="441"/>
      <c r="C1258" s="476"/>
      <c r="D1258" s="451" t="s">
        <v>696</v>
      </c>
      <c r="E1258" s="470"/>
      <c r="F1258" s="61"/>
      <c r="G1258" s="58"/>
      <c r="H1258" s="59">
        <f>SUM(H1255:H1257)</f>
        <v>54</v>
      </c>
      <c r="I1258" s="59">
        <f>SUM(I1255:I1257)</f>
        <v>7.8664500000000004</v>
      </c>
      <c r="J1258" s="60">
        <f>SUM(H1258:I1258)</f>
        <v>61.86645</v>
      </c>
    </row>
    <row r="1259" spans="1:10" ht="12.75">
      <c r="A1259" s="469" t="s">
        <v>1052</v>
      </c>
      <c r="B1259" s="1027" t="s">
        <v>1221</v>
      </c>
      <c r="C1259" s="1028"/>
      <c r="D1259" s="1028"/>
      <c r="E1259" s="457"/>
      <c r="F1259" s="457"/>
      <c r="G1259" s="457"/>
      <c r="H1259" s="457"/>
      <c r="I1259" s="457"/>
      <c r="J1259" s="458"/>
    </row>
    <row r="1261" spans="1:10" ht="12.75">
      <c r="A1261" s="463" t="s">
        <v>697</v>
      </c>
      <c r="B1261" s="463"/>
      <c r="C1261" s="438" t="s">
        <v>2367</v>
      </c>
      <c r="D1261" s="464" t="s">
        <v>979</v>
      </c>
      <c r="E1261" s="376" t="s">
        <v>411</v>
      </c>
      <c r="F1261" s="440" t="s">
        <v>692</v>
      </c>
      <c r="G1261" s="376" t="s">
        <v>693</v>
      </c>
      <c r="H1261" s="440" t="s">
        <v>694</v>
      </c>
      <c r="I1261" s="440" t="s">
        <v>695</v>
      </c>
      <c r="J1261" s="440" t="s">
        <v>696</v>
      </c>
    </row>
    <row r="1262" spans="1:10" ht="12.75">
      <c r="A1262" s="446" t="s">
        <v>699</v>
      </c>
      <c r="B1262" s="465" t="s">
        <v>409</v>
      </c>
      <c r="C1262" s="478" t="s">
        <v>2420</v>
      </c>
      <c r="D1262" s="469" t="s">
        <v>979</v>
      </c>
      <c r="E1262" s="55" t="s">
        <v>15</v>
      </c>
      <c r="F1262" s="51">
        <v>1</v>
      </c>
      <c r="G1262" s="466">
        <v>34.5</v>
      </c>
      <c r="H1262" s="52">
        <f>F1262*G1262</f>
        <v>34.5</v>
      </c>
      <c r="I1262" s="53"/>
      <c r="J1262" s="54">
        <f>F1262*G1262</f>
        <v>34.5</v>
      </c>
    </row>
    <row r="1263" spans="1:10" ht="12.75">
      <c r="A1263" s="446" t="s">
        <v>698</v>
      </c>
      <c r="B1263" s="465" t="s">
        <v>406</v>
      </c>
      <c r="C1263" s="441">
        <v>88248</v>
      </c>
      <c r="D1263" s="447" t="s">
        <v>739</v>
      </c>
      <c r="E1263" s="432" t="s">
        <v>740</v>
      </c>
      <c r="F1263" s="111">
        <v>0.13500000000000001</v>
      </c>
      <c r="G1263" s="605">
        <v>26.14</v>
      </c>
      <c r="H1263" s="52"/>
      <c r="I1263" s="56">
        <f>F1263*G1263</f>
        <v>3.5289000000000001</v>
      </c>
      <c r="J1263" s="54">
        <f t="shared" ref="J1263:J1264" si="73">F1263*G1263</f>
        <v>3.5289000000000001</v>
      </c>
    </row>
    <row r="1264" spans="1:10" ht="12.75">
      <c r="A1264" s="446" t="s">
        <v>698</v>
      </c>
      <c r="B1264" s="465" t="s">
        <v>406</v>
      </c>
      <c r="C1264" s="441">
        <v>88267</v>
      </c>
      <c r="D1264" s="447" t="s">
        <v>741</v>
      </c>
      <c r="E1264" s="432" t="s">
        <v>740</v>
      </c>
      <c r="F1264" s="111">
        <v>0.13500000000000001</v>
      </c>
      <c r="G1264" s="605">
        <v>32.130000000000003</v>
      </c>
      <c r="H1264" s="55"/>
      <c r="I1264" s="56">
        <f>F1264*G1264</f>
        <v>4.3375500000000002</v>
      </c>
      <c r="J1264" s="54">
        <f t="shared" si="73"/>
        <v>4.3375500000000002</v>
      </c>
    </row>
    <row r="1265" spans="1:10" ht="12.75">
      <c r="A1265" s="449"/>
      <c r="B1265" s="441"/>
      <c r="C1265" s="476"/>
      <c r="D1265" s="451" t="s">
        <v>696</v>
      </c>
      <c r="E1265" s="470"/>
      <c r="F1265" s="61"/>
      <c r="G1265" s="58"/>
      <c r="H1265" s="59">
        <f>SUM(H1262:H1264)</f>
        <v>34.5</v>
      </c>
      <c r="I1265" s="59">
        <f>SUM(I1262:I1264)</f>
        <v>7.8664500000000004</v>
      </c>
      <c r="J1265" s="60">
        <f>SUM(H1265:I1265)</f>
        <v>42.36645</v>
      </c>
    </row>
    <row r="1266" spans="1:10" ht="12.75">
      <c r="A1266" s="469" t="s">
        <v>1052</v>
      </c>
      <c r="B1266" s="1027" t="s">
        <v>1221</v>
      </c>
      <c r="C1266" s="1028"/>
      <c r="D1266" s="1028"/>
      <c r="E1266" s="457"/>
      <c r="F1266" s="457"/>
      <c r="G1266" s="457"/>
      <c r="H1266" s="457"/>
      <c r="I1266" s="457"/>
      <c r="J1266" s="458"/>
    </row>
    <row r="1268" spans="1:10" ht="12.75">
      <c r="A1268" s="463" t="s">
        <v>697</v>
      </c>
      <c r="B1268" s="463"/>
      <c r="C1268" s="438" t="s">
        <v>2368</v>
      </c>
      <c r="D1268" s="464" t="s">
        <v>980</v>
      </c>
      <c r="E1268" s="376" t="s">
        <v>411</v>
      </c>
      <c r="F1268" s="440" t="s">
        <v>692</v>
      </c>
      <c r="G1268" s="376" t="s">
        <v>693</v>
      </c>
      <c r="H1268" s="440" t="s">
        <v>694</v>
      </c>
      <c r="I1268" s="440" t="s">
        <v>695</v>
      </c>
      <c r="J1268" s="440" t="s">
        <v>696</v>
      </c>
    </row>
    <row r="1269" spans="1:10" ht="12.75">
      <c r="A1269" s="446" t="s">
        <v>699</v>
      </c>
      <c r="B1269" s="465" t="s">
        <v>409</v>
      </c>
      <c r="C1269" s="478" t="s">
        <v>2420</v>
      </c>
      <c r="D1269" s="469" t="s">
        <v>980</v>
      </c>
      <c r="E1269" s="55" t="s">
        <v>15</v>
      </c>
      <c r="F1269" s="51">
        <v>1</v>
      </c>
      <c r="G1269" s="466">
        <v>8.5</v>
      </c>
      <c r="H1269" s="52">
        <f>F1269*G1269</f>
        <v>8.5</v>
      </c>
      <c r="I1269" s="53"/>
      <c r="J1269" s="54">
        <f>F1269*G1269</f>
        <v>8.5</v>
      </c>
    </row>
    <row r="1270" spans="1:10" ht="12.75">
      <c r="A1270" s="446" t="s">
        <v>698</v>
      </c>
      <c r="B1270" s="465" t="s">
        <v>406</v>
      </c>
      <c r="C1270" s="441">
        <v>88248</v>
      </c>
      <c r="D1270" s="447" t="s">
        <v>739</v>
      </c>
      <c r="E1270" s="432" t="s">
        <v>740</v>
      </c>
      <c r="F1270" s="111">
        <v>0.13500000000000001</v>
      </c>
      <c r="G1270" s="605">
        <v>26.14</v>
      </c>
      <c r="H1270" s="52"/>
      <c r="I1270" s="56">
        <f>F1270*G1270</f>
        <v>3.5289000000000001</v>
      </c>
      <c r="J1270" s="54">
        <f t="shared" ref="J1270:J1271" si="74">F1270*G1270</f>
        <v>3.5289000000000001</v>
      </c>
    </row>
    <row r="1271" spans="1:10" ht="12.75">
      <c r="A1271" s="446" t="s">
        <v>698</v>
      </c>
      <c r="B1271" s="465" t="s">
        <v>406</v>
      </c>
      <c r="C1271" s="441">
        <v>88267</v>
      </c>
      <c r="D1271" s="447" t="s">
        <v>741</v>
      </c>
      <c r="E1271" s="432" t="s">
        <v>740</v>
      </c>
      <c r="F1271" s="111">
        <v>0.13500000000000001</v>
      </c>
      <c r="G1271" s="605">
        <v>32.130000000000003</v>
      </c>
      <c r="H1271" s="55"/>
      <c r="I1271" s="56">
        <f>F1271*G1271</f>
        <v>4.3375500000000002</v>
      </c>
      <c r="J1271" s="54">
        <f t="shared" si="74"/>
        <v>4.3375500000000002</v>
      </c>
    </row>
    <row r="1272" spans="1:10" ht="12.75">
      <c r="A1272" s="449"/>
      <c r="B1272" s="441"/>
      <c r="C1272" s="476"/>
      <c r="D1272" s="451" t="s">
        <v>696</v>
      </c>
      <c r="E1272" s="470"/>
      <c r="F1272" s="61"/>
      <c r="G1272" s="58"/>
      <c r="H1272" s="59">
        <f>SUM(H1269:H1271)</f>
        <v>8.5</v>
      </c>
      <c r="I1272" s="59">
        <f>SUM(I1269:I1271)</f>
        <v>7.8664500000000004</v>
      </c>
      <c r="J1272" s="60">
        <f>SUM(H1272:I1272)</f>
        <v>16.36645</v>
      </c>
    </row>
    <row r="1273" spans="1:10" ht="12.75">
      <c r="A1273" s="469" t="s">
        <v>1052</v>
      </c>
      <c r="B1273" s="1027" t="s">
        <v>1221</v>
      </c>
      <c r="C1273" s="1028"/>
      <c r="D1273" s="1028"/>
      <c r="E1273" s="457"/>
      <c r="F1273" s="457"/>
      <c r="G1273" s="457"/>
      <c r="H1273" s="457"/>
      <c r="I1273" s="457"/>
      <c r="J1273" s="458"/>
    </row>
    <row r="1275" spans="1:10" ht="12.75">
      <c r="A1275" s="463" t="s">
        <v>697</v>
      </c>
      <c r="B1275" s="463"/>
      <c r="C1275" s="438" t="s">
        <v>2369</v>
      </c>
      <c r="D1275" s="464" t="s">
        <v>981</v>
      </c>
      <c r="E1275" s="376" t="s">
        <v>411</v>
      </c>
      <c r="F1275" s="440" t="s">
        <v>692</v>
      </c>
      <c r="G1275" s="376" t="s">
        <v>693</v>
      </c>
      <c r="H1275" s="440" t="s">
        <v>694</v>
      </c>
      <c r="I1275" s="440" t="s">
        <v>695</v>
      </c>
      <c r="J1275" s="440" t="s">
        <v>696</v>
      </c>
    </row>
    <row r="1276" spans="1:10" ht="12.75">
      <c r="A1276" s="446" t="s">
        <v>699</v>
      </c>
      <c r="B1276" s="465" t="s">
        <v>409</v>
      </c>
      <c r="C1276" s="478" t="s">
        <v>2420</v>
      </c>
      <c r="D1276" s="469" t="s">
        <v>981</v>
      </c>
      <c r="E1276" s="55" t="s">
        <v>15</v>
      </c>
      <c r="F1276" s="51">
        <v>1</v>
      </c>
      <c r="G1276" s="466">
        <v>9.1999999999999993</v>
      </c>
      <c r="H1276" s="52">
        <f>F1276*G1276</f>
        <v>9.1999999999999993</v>
      </c>
      <c r="I1276" s="53"/>
      <c r="J1276" s="54">
        <f>F1276*G1276</f>
        <v>9.1999999999999993</v>
      </c>
    </row>
    <row r="1277" spans="1:10" ht="12.75">
      <c r="A1277" s="446" t="s">
        <v>698</v>
      </c>
      <c r="B1277" s="465" t="s">
        <v>406</v>
      </c>
      <c r="C1277" s="441">
        <v>88248</v>
      </c>
      <c r="D1277" s="447" t="s">
        <v>739</v>
      </c>
      <c r="E1277" s="432" t="s">
        <v>740</v>
      </c>
      <c r="F1277" s="111">
        <v>0.13500000000000001</v>
      </c>
      <c r="G1277" s="605">
        <v>26.14</v>
      </c>
      <c r="H1277" s="52"/>
      <c r="I1277" s="56">
        <f>F1277*G1277</f>
        <v>3.5289000000000001</v>
      </c>
      <c r="J1277" s="54">
        <f t="shared" ref="J1277:J1278" si="75">F1277*G1277</f>
        <v>3.5289000000000001</v>
      </c>
    </row>
    <row r="1278" spans="1:10" ht="12.75">
      <c r="A1278" s="446" t="s">
        <v>698</v>
      </c>
      <c r="B1278" s="465" t="s">
        <v>406</v>
      </c>
      <c r="C1278" s="441">
        <v>88267</v>
      </c>
      <c r="D1278" s="447" t="s">
        <v>741</v>
      </c>
      <c r="E1278" s="432" t="s">
        <v>740</v>
      </c>
      <c r="F1278" s="111">
        <v>0.13500000000000001</v>
      </c>
      <c r="G1278" s="605">
        <v>32.130000000000003</v>
      </c>
      <c r="H1278" s="55"/>
      <c r="I1278" s="56">
        <f>F1278*G1278</f>
        <v>4.3375500000000002</v>
      </c>
      <c r="J1278" s="54">
        <f t="shared" si="75"/>
        <v>4.3375500000000002</v>
      </c>
    </row>
    <row r="1279" spans="1:10" ht="12.75">
      <c r="A1279" s="449"/>
      <c r="B1279" s="441"/>
      <c r="C1279" s="476"/>
      <c r="D1279" s="451" t="s">
        <v>696</v>
      </c>
      <c r="E1279" s="470"/>
      <c r="F1279" s="61"/>
      <c r="G1279" s="58"/>
      <c r="H1279" s="59">
        <f>SUM(H1276:H1278)</f>
        <v>9.1999999999999993</v>
      </c>
      <c r="I1279" s="59">
        <f>SUM(I1276:I1278)</f>
        <v>7.8664500000000004</v>
      </c>
      <c r="J1279" s="60">
        <f>SUM(H1279:I1279)</f>
        <v>17.06645</v>
      </c>
    </row>
    <row r="1280" spans="1:10" ht="12.75">
      <c r="A1280" s="469" t="s">
        <v>1052</v>
      </c>
      <c r="B1280" s="1027" t="s">
        <v>1221</v>
      </c>
      <c r="C1280" s="1028"/>
      <c r="D1280" s="1028"/>
      <c r="E1280" s="457"/>
      <c r="F1280" s="457"/>
      <c r="G1280" s="457"/>
      <c r="H1280" s="457"/>
      <c r="I1280" s="457"/>
      <c r="J1280" s="458"/>
    </row>
    <row r="1282" spans="1:10" ht="12.75">
      <c r="A1282" s="463" t="s">
        <v>697</v>
      </c>
      <c r="B1282" s="463"/>
      <c r="C1282" s="438" t="s">
        <v>2370</v>
      </c>
      <c r="D1282" s="464" t="s">
        <v>982</v>
      </c>
      <c r="E1282" s="376" t="s">
        <v>411</v>
      </c>
      <c r="F1282" s="440" t="s">
        <v>692</v>
      </c>
      <c r="G1282" s="376" t="s">
        <v>693</v>
      </c>
      <c r="H1282" s="440" t="s">
        <v>694</v>
      </c>
      <c r="I1282" s="440" t="s">
        <v>695</v>
      </c>
      <c r="J1282" s="440" t="s">
        <v>696</v>
      </c>
    </row>
    <row r="1283" spans="1:10" ht="12.75">
      <c r="A1283" s="446" t="s">
        <v>699</v>
      </c>
      <c r="B1283" s="465" t="s">
        <v>409</v>
      </c>
      <c r="C1283" s="478" t="s">
        <v>2420</v>
      </c>
      <c r="D1283" s="469" t="s">
        <v>982</v>
      </c>
      <c r="E1283" s="55" t="s">
        <v>15</v>
      </c>
      <c r="F1283" s="51">
        <v>1</v>
      </c>
      <c r="G1283" s="466">
        <v>15.4</v>
      </c>
      <c r="H1283" s="52">
        <f>F1283*G1283</f>
        <v>15.4</v>
      </c>
      <c r="I1283" s="53"/>
      <c r="J1283" s="54">
        <f>F1283*G1283</f>
        <v>15.4</v>
      </c>
    </row>
    <row r="1284" spans="1:10" ht="12.75">
      <c r="A1284" s="446" t="s">
        <v>698</v>
      </c>
      <c r="B1284" s="465" t="s">
        <v>406</v>
      </c>
      <c r="C1284" s="441">
        <v>88248</v>
      </c>
      <c r="D1284" s="447" t="s">
        <v>739</v>
      </c>
      <c r="E1284" s="432" t="s">
        <v>740</v>
      </c>
      <c r="F1284" s="111">
        <v>0.13500000000000001</v>
      </c>
      <c r="G1284" s="605">
        <v>26.14</v>
      </c>
      <c r="H1284" s="52"/>
      <c r="I1284" s="56">
        <f>F1284*G1284</f>
        <v>3.5289000000000001</v>
      </c>
      <c r="J1284" s="54">
        <f t="shared" ref="J1284:J1285" si="76">F1284*G1284</f>
        <v>3.5289000000000001</v>
      </c>
    </row>
    <row r="1285" spans="1:10" ht="12.75">
      <c r="A1285" s="446" t="s">
        <v>698</v>
      </c>
      <c r="B1285" s="465" t="s">
        <v>406</v>
      </c>
      <c r="C1285" s="441">
        <v>88267</v>
      </c>
      <c r="D1285" s="447" t="s">
        <v>741</v>
      </c>
      <c r="E1285" s="432" t="s">
        <v>740</v>
      </c>
      <c r="F1285" s="111">
        <v>0.13500000000000001</v>
      </c>
      <c r="G1285" s="605">
        <v>32.130000000000003</v>
      </c>
      <c r="H1285" s="55"/>
      <c r="I1285" s="56">
        <f>F1285*G1285</f>
        <v>4.3375500000000002</v>
      </c>
      <c r="J1285" s="54">
        <f t="shared" si="76"/>
        <v>4.3375500000000002</v>
      </c>
    </row>
    <row r="1286" spans="1:10" ht="12.75">
      <c r="A1286" s="449"/>
      <c r="B1286" s="441"/>
      <c r="C1286" s="476"/>
      <c r="D1286" s="451" t="s">
        <v>696</v>
      </c>
      <c r="E1286" s="470"/>
      <c r="F1286" s="61"/>
      <c r="G1286" s="58"/>
      <c r="H1286" s="59">
        <f>SUM(H1283:H1285)</f>
        <v>15.4</v>
      </c>
      <c r="I1286" s="59">
        <f>SUM(I1283:I1285)</f>
        <v>7.8664500000000004</v>
      </c>
      <c r="J1286" s="60">
        <f>SUM(H1286:I1286)</f>
        <v>23.266449999999999</v>
      </c>
    </row>
    <row r="1287" spans="1:10" ht="12.75">
      <c r="A1287" s="469" t="s">
        <v>1052</v>
      </c>
      <c r="B1287" s="1027" t="s">
        <v>1221</v>
      </c>
      <c r="C1287" s="1028"/>
      <c r="D1287" s="1028"/>
      <c r="E1287" s="457"/>
      <c r="F1287" s="457"/>
      <c r="G1287" s="457"/>
      <c r="H1287" s="457"/>
      <c r="I1287" s="457"/>
      <c r="J1287" s="458"/>
    </row>
    <row r="1289" spans="1:10" ht="12.75">
      <c r="A1289" s="463" t="s">
        <v>697</v>
      </c>
      <c r="B1289" s="463"/>
      <c r="C1289" s="438" t="s">
        <v>2371</v>
      </c>
      <c r="D1289" s="464" t="s">
        <v>983</v>
      </c>
      <c r="E1289" s="376" t="s">
        <v>411</v>
      </c>
      <c r="F1289" s="440" t="s">
        <v>692</v>
      </c>
      <c r="G1289" s="376" t="s">
        <v>693</v>
      </c>
      <c r="H1289" s="440" t="s">
        <v>694</v>
      </c>
      <c r="I1289" s="440" t="s">
        <v>695</v>
      </c>
      <c r="J1289" s="440" t="s">
        <v>696</v>
      </c>
    </row>
    <row r="1290" spans="1:10" ht="12.75">
      <c r="A1290" s="446" t="s">
        <v>699</v>
      </c>
      <c r="B1290" s="465" t="s">
        <v>409</v>
      </c>
      <c r="C1290" s="478" t="s">
        <v>2420</v>
      </c>
      <c r="D1290" s="469" t="s">
        <v>983</v>
      </c>
      <c r="E1290" s="55" t="s">
        <v>15</v>
      </c>
      <c r="F1290" s="51">
        <v>1</v>
      </c>
      <c r="G1290" s="466">
        <v>14.1</v>
      </c>
      <c r="H1290" s="52">
        <f>F1290*G1290</f>
        <v>14.1</v>
      </c>
      <c r="I1290" s="53"/>
      <c r="J1290" s="54">
        <f>F1290*G1290</f>
        <v>14.1</v>
      </c>
    </row>
    <row r="1291" spans="1:10" ht="12.75">
      <c r="A1291" s="446" t="s">
        <v>698</v>
      </c>
      <c r="B1291" s="465" t="s">
        <v>406</v>
      </c>
      <c r="C1291" s="441">
        <v>88248</v>
      </c>
      <c r="D1291" s="447" t="s">
        <v>739</v>
      </c>
      <c r="E1291" s="432" t="s">
        <v>740</v>
      </c>
      <c r="F1291" s="111">
        <v>0.13500000000000001</v>
      </c>
      <c r="G1291" s="605">
        <v>26.14</v>
      </c>
      <c r="H1291" s="52"/>
      <c r="I1291" s="56">
        <f>F1291*G1291</f>
        <v>3.5289000000000001</v>
      </c>
      <c r="J1291" s="54">
        <f t="shared" ref="J1291:J1292" si="77">F1291*G1291</f>
        <v>3.5289000000000001</v>
      </c>
    </row>
    <row r="1292" spans="1:10" ht="12.75">
      <c r="A1292" s="446" t="s">
        <v>698</v>
      </c>
      <c r="B1292" s="465" t="s">
        <v>406</v>
      </c>
      <c r="C1292" s="441">
        <v>88267</v>
      </c>
      <c r="D1292" s="447" t="s">
        <v>741</v>
      </c>
      <c r="E1292" s="432" t="s">
        <v>740</v>
      </c>
      <c r="F1292" s="111">
        <v>0.13500000000000001</v>
      </c>
      <c r="G1292" s="605">
        <v>32.130000000000003</v>
      </c>
      <c r="H1292" s="55"/>
      <c r="I1292" s="56">
        <f>F1292*G1292</f>
        <v>4.3375500000000002</v>
      </c>
      <c r="J1292" s="54">
        <f t="shared" si="77"/>
        <v>4.3375500000000002</v>
      </c>
    </row>
    <row r="1293" spans="1:10" ht="12.75">
      <c r="A1293" s="449"/>
      <c r="B1293" s="441"/>
      <c r="C1293" s="476"/>
      <c r="D1293" s="451" t="s">
        <v>696</v>
      </c>
      <c r="E1293" s="470"/>
      <c r="F1293" s="61"/>
      <c r="G1293" s="58"/>
      <c r="H1293" s="59">
        <f>SUM(H1290:H1292)</f>
        <v>14.1</v>
      </c>
      <c r="I1293" s="59">
        <f>SUM(I1290:I1292)</f>
        <v>7.8664500000000004</v>
      </c>
      <c r="J1293" s="60">
        <f>SUM(H1293:I1293)</f>
        <v>21.966450000000002</v>
      </c>
    </row>
    <row r="1294" spans="1:10" ht="12.75">
      <c r="A1294" s="469" t="s">
        <v>1052</v>
      </c>
      <c r="B1294" s="1027" t="s">
        <v>1221</v>
      </c>
      <c r="C1294" s="1028"/>
      <c r="D1294" s="1028"/>
      <c r="E1294" s="457"/>
      <c r="F1294" s="457"/>
      <c r="G1294" s="457"/>
      <c r="H1294" s="457"/>
      <c r="I1294" s="457"/>
      <c r="J1294" s="458"/>
    </row>
    <row r="1296" spans="1:10" ht="12.75">
      <c r="A1296" s="463" t="s">
        <v>697</v>
      </c>
      <c r="B1296" s="463"/>
      <c r="C1296" s="438" t="s">
        <v>2372</v>
      </c>
      <c r="D1296" s="464" t="s">
        <v>984</v>
      </c>
      <c r="E1296" s="376" t="s">
        <v>411</v>
      </c>
      <c r="F1296" s="440" t="s">
        <v>692</v>
      </c>
      <c r="G1296" s="376" t="s">
        <v>693</v>
      </c>
      <c r="H1296" s="440" t="s">
        <v>694</v>
      </c>
      <c r="I1296" s="440" t="s">
        <v>695</v>
      </c>
      <c r="J1296" s="440" t="s">
        <v>696</v>
      </c>
    </row>
    <row r="1297" spans="1:10" ht="12.75">
      <c r="A1297" s="446" t="s">
        <v>699</v>
      </c>
      <c r="B1297" s="465" t="s">
        <v>409</v>
      </c>
      <c r="C1297" s="478" t="s">
        <v>2420</v>
      </c>
      <c r="D1297" s="469" t="s">
        <v>984</v>
      </c>
      <c r="E1297" s="55" t="s">
        <v>15</v>
      </c>
      <c r="F1297" s="51">
        <v>1</v>
      </c>
      <c r="G1297" s="466">
        <v>13.2</v>
      </c>
      <c r="H1297" s="52">
        <f>F1297*G1297</f>
        <v>13.2</v>
      </c>
      <c r="I1297" s="53"/>
      <c r="J1297" s="54">
        <f>F1297*G1297</f>
        <v>13.2</v>
      </c>
    </row>
    <row r="1298" spans="1:10" ht="12.75">
      <c r="A1298" s="446" t="s">
        <v>698</v>
      </c>
      <c r="B1298" s="465" t="s">
        <v>406</v>
      </c>
      <c r="C1298" s="441">
        <v>88248</v>
      </c>
      <c r="D1298" s="447" t="s">
        <v>739</v>
      </c>
      <c r="E1298" s="432" t="s">
        <v>740</v>
      </c>
      <c r="F1298" s="111">
        <v>0.13500000000000001</v>
      </c>
      <c r="G1298" s="605">
        <v>26.14</v>
      </c>
      <c r="H1298" s="52"/>
      <c r="I1298" s="56">
        <f>F1298*G1298</f>
        <v>3.5289000000000001</v>
      </c>
      <c r="J1298" s="54">
        <f t="shared" ref="J1298:J1299" si="78">F1298*G1298</f>
        <v>3.5289000000000001</v>
      </c>
    </row>
    <row r="1299" spans="1:10" ht="12.75">
      <c r="A1299" s="446" t="s">
        <v>698</v>
      </c>
      <c r="B1299" s="465" t="s">
        <v>406</v>
      </c>
      <c r="C1299" s="441">
        <v>88267</v>
      </c>
      <c r="D1299" s="447" t="s">
        <v>741</v>
      </c>
      <c r="E1299" s="432" t="s">
        <v>740</v>
      </c>
      <c r="F1299" s="111">
        <v>0.13500000000000001</v>
      </c>
      <c r="G1299" s="605">
        <v>32.130000000000003</v>
      </c>
      <c r="H1299" s="55"/>
      <c r="I1299" s="56">
        <f>F1299*G1299</f>
        <v>4.3375500000000002</v>
      </c>
      <c r="J1299" s="54">
        <f t="shared" si="78"/>
        <v>4.3375500000000002</v>
      </c>
    </row>
    <row r="1300" spans="1:10" ht="12.75">
      <c r="A1300" s="449"/>
      <c r="B1300" s="441"/>
      <c r="C1300" s="476"/>
      <c r="D1300" s="451" t="s">
        <v>696</v>
      </c>
      <c r="E1300" s="470"/>
      <c r="F1300" s="61"/>
      <c r="G1300" s="58"/>
      <c r="H1300" s="59">
        <f>SUM(H1297:H1299)</f>
        <v>13.2</v>
      </c>
      <c r="I1300" s="59">
        <f>SUM(I1297:I1299)</f>
        <v>7.8664500000000004</v>
      </c>
      <c r="J1300" s="60">
        <f>SUM(H1300:I1300)</f>
        <v>21.06645</v>
      </c>
    </row>
    <row r="1301" spans="1:10" ht="12.75">
      <c r="A1301" s="469" t="s">
        <v>1052</v>
      </c>
      <c r="B1301" s="1027" t="s">
        <v>1221</v>
      </c>
      <c r="C1301" s="1028"/>
      <c r="D1301" s="1028"/>
      <c r="E1301" s="457"/>
      <c r="F1301" s="457"/>
      <c r="G1301" s="457"/>
      <c r="H1301" s="457"/>
      <c r="I1301" s="457"/>
      <c r="J1301" s="458"/>
    </row>
    <row r="1303" spans="1:10" ht="12.75">
      <c r="A1303" s="463" t="s">
        <v>697</v>
      </c>
      <c r="B1303" s="463"/>
      <c r="C1303" s="438" t="s">
        <v>2373</v>
      </c>
      <c r="D1303" s="464" t="s">
        <v>985</v>
      </c>
      <c r="E1303" s="376" t="s">
        <v>411</v>
      </c>
      <c r="F1303" s="440" t="s">
        <v>692</v>
      </c>
      <c r="G1303" s="376" t="s">
        <v>693</v>
      </c>
      <c r="H1303" s="440" t="s">
        <v>694</v>
      </c>
      <c r="I1303" s="440" t="s">
        <v>695</v>
      </c>
      <c r="J1303" s="440" t="s">
        <v>696</v>
      </c>
    </row>
    <row r="1304" spans="1:10" ht="12.75">
      <c r="A1304" s="446" t="s">
        <v>699</v>
      </c>
      <c r="B1304" s="465" t="s">
        <v>409</v>
      </c>
      <c r="C1304" s="478" t="s">
        <v>2420</v>
      </c>
      <c r="D1304" s="469" t="s">
        <v>985</v>
      </c>
      <c r="E1304" s="55" t="s">
        <v>15</v>
      </c>
      <c r="F1304" s="51">
        <v>1</v>
      </c>
      <c r="G1304" s="466">
        <v>61.5</v>
      </c>
      <c r="H1304" s="52">
        <f>F1304*G1304</f>
        <v>61.5</v>
      </c>
      <c r="I1304" s="53"/>
      <c r="J1304" s="54">
        <f>F1304*G1304</f>
        <v>61.5</v>
      </c>
    </row>
    <row r="1305" spans="1:10" ht="12.75">
      <c r="A1305" s="446" t="s">
        <v>698</v>
      </c>
      <c r="B1305" s="465" t="s">
        <v>406</v>
      </c>
      <c r="C1305" s="441">
        <v>88248</v>
      </c>
      <c r="D1305" s="447" t="s">
        <v>739</v>
      </c>
      <c r="E1305" s="432" t="s">
        <v>740</v>
      </c>
      <c r="F1305" s="111">
        <v>0.13500000000000001</v>
      </c>
      <c r="G1305" s="605">
        <v>26.14</v>
      </c>
      <c r="H1305" s="52"/>
      <c r="I1305" s="56">
        <f>F1305*G1305</f>
        <v>3.5289000000000001</v>
      </c>
      <c r="J1305" s="54">
        <f t="shared" ref="J1305:J1306" si="79">F1305*G1305</f>
        <v>3.5289000000000001</v>
      </c>
    </row>
    <row r="1306" spans="1:10" ht="12.75">
      <c r="A1306" s="446" t="s">
        <v>698</v>
      </c>
      <c r="B1306" s="465" t="s">
        <v>406</v>
      </c>
      <c r="C1306" s="441">
        <v>88267</v>
      </c>
      <c r="D1306" s="447" t="s">
        <v>741</v>
      </c>
      <c r="E1306" s="432" t="s">
        <v>740</v>
      </c>
      <c r="F1306" s="111">
        <v>0.13500000000000001</v>
      </c>
      <c r="G1306" s="605">
        <v>32.130000000000003</v>
      </c>
      <c r="H1306" s="55"/>
      <c r="I1306" s="56">
        <f>F1306*G1306</f>
        <v>4.3375500000000002</v>
      </c>
      <c r="J1306" s="54">
        <f t="shared" si="79"/>
        <v>4.3375500000000002</v>
      </c>
    </row>
    <row r="1307" spans="1:10" ht="12.75">
      <c r="A1307" s="449"/>
      <c r="B1307" s="441"/>
      <c r="C1307" s="476"/>
      <c r="D1307" s="451" t="s">
        <v>696</v>
      </c>
      <c r="E1307" s="470"/>
      <c r="F1307" s="61"/>
      <c r="G1307" s="58"/>
      <c r="H1307" s="59">
        <f>SUM(H1304:H1306)</f>
        <v>61.5</v>
      </c>
      <c r="I1307" s="59">
        <f>SUM(I1304:I1306)</f>
        <v>7.8664500000000004</v>
      </c>
      <c r="J1307" s="60">
        <f>SUM(H1307:I1307)</f>
        <v>69.36645</v>
      </c>
    </row>
    <row r="1308" spans="1:10" ht="12.75">
      <c r="A1308" s="469" t="s">
        <v>1052</v>
      </c>
      <c r="B1308" s="1027" t="s">
        <v>1221</v>
      </c>
      <c r="C1308" s="1028"/>
      <c r="D1308" s="1028"/>
      <c r="E1308" s="457"/>
      <c r="F1308" s="457"/>
      <c r="G1308" s="457"/>
      <c r="H1308" s="457"/>
      <c r="I1308" s="457"/>
      <c r="J1308" s="458"/>
    </row>
    <row r="1310" spans="1:10" ht="12.75">
      <c r="A1310" s="463" t="s">
        <v>697</v>
      </c>
      <c r="B1310" s="463"/>
      <c r="C1310" s="438" t="s">
        <v>2374</v>
      </c>
      <c r="D1310" s="464" t="s">
        <v>986</v>
      </c>
      <c r="E1310" s="376" t="s">
        <v>411</v>
      </c>
      <c r="F1310" s="440" t="s">
        <v>692</v>
      </c>
      <c r="G1310" s="376" t="s">
        <v>693</v>
      </c>
      <c r="H1310" s="440" t="s">
        <v>694</v>
      </c>
      <c r="I1310" s="440" t="s">
        <v>695</v>
      </c>
      <c r="J1310" s="440" t="s">
        <v>696</v>
      </c>
    </row>
    <row r="1311" spans="1:10" ht="12.75">
      <c r="A1311" s="446" t="s">
        <v>699</v>
      </c>
      <c r="B1311" s="465" t="s">
        <v>409</v>
      </c>
      <c r="C1311" s="478" t="s">
        <v>2420</v>
      </c>
      <c r="D1311" s="469" t="s">
        <v>986</v>
      </c>
      <c r="E1311" s="55" t="s">
        <v>15</v>
      </c>
      <c r="F1311" s="51">
        <v>1</v>
      </c>
      <c r="G1311" s="466">
        <v>94</v>
      </c>
      <c r="H1311" s="52">
        <f>F1311*G1311</f>
        <v>94</v>
      </c>
      <c r="I1311" s="53"/>
      <c r="J1311" s="54">
        <f>F1311*G1311</f>
        <v>94</v>
      </c>
    </row>
    <row r="1312" spans="1:10" ht="12.75">
      <c r="A1312" s="446" t="s">
        <v>698</v>
      </c>
      <c r="B1312" s="465" t="s">
        <v>406</v>
      </c>
      <c r="C1312" s="441">
        <v>88248</v>
      </c>
      <c r="D1312" s="447" t="s">
        <v>739</v>
      </c>
      <c r="E1312" s="432" t="s">
        <v>740</v>
      </c>
      <c r="F1312" s="111">
        <v>0.13500000000000001</v>
      </c>
      <c r="G1312" s="605">
        <v>26.14</v>
      </c>
      <c r="H1312" s="52"/>
      <c r="I1312" s="56">
        <f>F1312*G1312</f>
        <v>3.5289000000000001</v>
      </c>
      <c r="J1312" s="54">
        <f t="shared" ref="J1312:J1313" si="80">F1312*G1312</f>
        <v>3.5289000000000001</v>
      </c>
    </row>
    <row r="1313" spans="1:10" ht="12.75">
      <c r="A1313" s="446" t="s">
        <v>698</v>
      </c>
      <c r="B1313" s="465" t="s">
        <v>406</v>
      </c>
      <c r="C1313" s="441">
        <v>88267</v>
      </c>
      <c r="D1313" s="447" t="s">
        <v>741</v>
      </c>
      <c r="E1313" s="432" t="s">
        <v>740</v>
      </c>
      <c r="F1313" s="111">
        <v>0.13500000000000001</v>
      </c>
      <c r="G1313" s="605">
        <v>32.130000000000003</v>
      </c>
      <c r="H1313" s="55"/>
      <c r="I1313" s="56">
        <f>F1313*G1313</f>
        <v>4.3375500000000002</v>
      </c>
      <c r="J1313" s="54">
        <f t="shared" si="80"/>
        <v>4.3375500000000002</v>
      </c>
    </row>
    <row r="1314" spans="1:10" ht="12.75">
      <c r="A1314" s="449"/>
      <c r="B1314" s="441"/>
      <c r="C1314" s="476"/>
      <c r="D1314" s="451" t="s">
        <v>696</v>
      </c>
      <c r="E1314" s="470"/>
      <c r="F1314" s="61"/>
      <c r="G1314" s="58"/>
      <c r="H1314" s="59">
        <f>SUM(H1311:H1313)</f>
        <v>94</v>
      </c>
      <c r="I1314" s="59">
        <f>SUM(I1311:I1313)</f>
        <v>7.8664500000000004</v>
      </c>
      <c r="J1314" s="60">
        <f>SUM(H1314:I1314)</f>
        <v>101.86645</v>
      </c>
    </row>
    <row r="1315" spans="1:10" ht="12.75">
      <c r="A1315" s="469" t="s">
        <v>1052</v>
      </c>
      <c r="B1315" s="1027" t="s">
        <v>1221</v>
      </c>
      <c r="C1315" s="1028"/>
      <c r="D1315" s="1028"/>
      <c r="E1315" s="457"/>
      <c r="F1315" s="457"/>
      <c r="G1315" s="457"/>
      <c r="H1315" s="457"/>
      <c r="I1315" s="457"/>
      <c r="J1315" s="458"/>
    </row>
    <row r="1317" spans="1:10" ht="12.75">
      <c r="A1317" s="463" t="s">
        <v>697</v>
      </c>
      <c r="B1317" s="463"/>
      <c r="C1317" s="438" t="s">
        <v>2375</v>
      </c>
      <c r="D1317" s="464" t="s">
        <v>987</v>
      </c>
      <c r="E1317" s="376" t="s">
        <v>411</v>
      </c>
      <c r="F1317" s="440" t="s">
        <v>692</v>
      </c>
      <c r="G1317" s="376" t="s">
        <v>693</v>
      </c>
      <c r="H1317" s="440" t="s">
        <v>694</v>
      </c>
      <c r="I1317" s="440" t="s">
        <v>695</v>
      </c>
      <c r="J1317" s="440" t="s">
        <v>696</v>
      </c>
    </row>
    <row r="1318" spans="1:10" ht="12.75">
      <c r="A1318" s="446" t="s">
        <v>699</v>
      </c>
      <c r="B1318" s="465" t="s">
        <v>409</v>
      </c>
      <c r="C1318" s="478" t="s">
        <v>2420</v>
      </c>
      <c r="D1318" s="469" t="s">
        <v>987</v>
      </c>
      <c r="E1318" s="55" t="s">
        <v>15</v>
      </c>
      <c r="F1318" s="51">
        <v>1</v>
      </c>
      <c r="G1318" s="466">
        <v>32</v>
      </c>
      <c r="H1318" s="52">
        <f>F1318*G1318</f>
        <v>32</v>
      </c>
      <c r="I1318" s="53"/>
      <c r="J1318" s="54">
        <f>F1318*G1318</f>
        <v>32</v>
      </c>
    </row>
    <row r="1319" spans="1:10" ht="12.75">
      <c r="A1319" s="446" t="s">
        <v>698</v>
      </c>
      <c r="B1319" s="465" t="s">
        <v>406</v>
      </c>
      <c r="C1319" s="441">
        <v>88248</v>
      </c>
      <c r="D1319" s="447" t="s">
        <v>739</v>
      </c>
      <c r="E1319" s="432" t="s">
        <v>740</v>
      </c>
      <c r="F1319" s="111">
        <v>0.13500000000000001</v>
      </c>
      <c r="G1319" s="605">
        <v>26.14</v>
      </c>
      <c r="H1319" s="52"/>
      <c r="I1319" s="56">
        <f>F1319*G1319</f>
        <v>3.5289000000000001</v>
      </c>
      <c r="J1319" s="54">
        <f t="shared" ref="J1319:J1320" si="81">F1319*G1319</f>
        <v>3.5289000000000001</v>
      </c>
    </row>
    <row r="1320" spans="1:10" ht="12.75">
      <c r="A1320" s="446" t="s">
        <v>698</v>
      </c>
      <c r="B1320" s="465" t="s">
        <v>406</v>
      </c>
      <c r="C1320" s="441">
        <v>88267</v>
      </c>
      <c r="D1320" s="447" t="s">
        <v>741</v>
      </c>
      <c r="E1320" s="432" t="s">
        <v>740</v>
      </c>
      <c r="F1320" s="111">
        <v>0.13500000000000001</v>
      </c>
      <c r="G1320" s="605">
        <v>32.130000000000003</v>
      </c>
      <c r="H1320" s="55"/>
      <c r="I1320" s="56">
        <f>F1320*G1320</f>
        <v>4.3375500000000002</v>
      </c>
      <c r="J1320" s="54">
        <f t="shared" si="81"/>
        <v>4.3375500000000002</v>
      </c>
    </row>
    <row r="1321" spans="1:10" ht="12.75">
      <c r="A1321" s="449"/>
      <c r="B1321" s="441"/>
      <c r="C1321" s="476"/>
      <c r="D1321" s="451" t="s">
        <v>696</v>
      </c>
      <c r="E1321" s="470"/>
      <c r="F1321" s="61"/>
      <c r="G1321" s="58"/>
      <c r="H1321" s="59">
        <f>SUM(H1318:H1320)</f>
        <v>32</v>
      </c>
      <c r="I1321" s="59">
        <f>SUM(I1318:I1320)</f>
        <v>7.8664500000000004</v>
      </c>
      <c r="J1321" s="60">
        <f>SUM(H1321:I1321)</f>
        <v>39.86645</v>
      </c>
    </row>
    <row r="1322" spans="1:10" ht="12.75">
      <c r="A1322" s="469" t="s">
        <v>1052</v>
      </c>
      <c r="B1322" s="1027" t="s">
        <v>1221</v>
      </c>
      <c r="C1322" s="1028"/>
      <c r="D1322" s="1028"/>
      <c r="E1322" s="457"/>
      <c r="F1322" s="457"/>
      <c r="G1322" s="457"/>
      <c r="H1322" s="457"/>
      <c r="I1322" s="457"/>
      <c r="J1322" s="458"/>
    </row>
    <row r="1324" spans="1:10" ht="12.75">
      <c r="A1324" s="463" t="s">
        <v>697</v>
      </c>
      <c r="B1324" s="463"/>
      <c r="C1324" s="438" t="s">
        <v>2376</v>
      </c>
      <c r="D1324" s="464" t="s">
        <v>988</v>
      </c>
      <c r="E1324" s="376" t="s">
        <v>411</v>
      </c>
      <c r="F1324" s="440" t="s">
        <v>692</v>
      </c>
      <c r="G1324" s="376" t="s">
        <v>693</v>
      </c>
      <c r="H1324" s="440" t="s">
        <v>694</v>
      </c>
      <c r="I1324" s="440" t="s">
        <v>695</v>
      </c>
      <c r="J1324" s="440" t="s">
        <v>696</v>
      </c>
    </row>
    <row r="1325" spans="1:10" ht="12.75">
      <c r="A1325" s="446" t="s">
        <v>699</v>
      </c>
      <c r="B1325" s="465" t="s">
        <v>409</v>
      </c>
      <c r="C1325" s="478" t="s">
        <v>2420</v>
      </c>
      <c r="D1325" s="469" t="s">
        <v>988</v>
      </c>
      <c r="E1325" s="55" t="s">
        <v>15</v>
      </c>
      <c r="F1325" s="51">
        <v>1</v>
      </c>
      <c r="G1325" s="466">
        <v>10.5</v>
      </c>
      <c r="H1325" s="52">
        <f>F1325*G1325</f>
        <v>10.5</v>
      </c>
      <c r="I1325" s="53"/>
      <c r="J1325" s="54">
        <f>F1325*G1325</f>
        <v>10.5</v>
      </c>
    </row>
    <row r="1326" spans="1:10" ht="12.75">
      <c r="A1326" s="446" t="s">
        <v>698</v>
      </c>
      <c r="B1326" s="465" t="s">
        <v>406</v>
      </c>
      <c r="C1326" s="441">
        <v>88248</v>
      </c>
      <c r="D1326" s="447" t="s">
        <v>739</v>
      </c>
      <c r="E1326" s="432" t="s">
        <v>740</v>
      </c>
      <c r="F1326" s="111">
        <v>0.13500000000000001</v>
      </c>
      <c r="G1326" s="605">
        <v>26.14</v>
      </c>
      <c r="H1326" s="52"/>
      <c r="I1326" s="56">
        <f>F1326*G1326</f>
        <v>3.5289000000000001</v>
      </c>
      <c r="J1326" s="54">
        <f t="shared" ref="J1326:J1327" si="82">F1326*G1326</f>
        <v>3.5289000000000001</v>
      </c>
    </row>
    <row r="1327" spans="1:10" ht="12.75">
      <c r="A1327" s="446" t="s">
        <v>698</v>
      </c>
      <c r="B1327" s="465" t="s">
        <v>406</v>
      </c>
      <c r="C1327" s="441">
        <v>88267</v>
      </c>
      <c r="D1327" s="447" t="s">
        <v>741</v>
      </c>
      <c r="E1327" s="432" t="s">
        <v>740</v>
      </c>
      <c r="F1327" s="111">
        <v>0.13500000000000001</v>
      </c>
      <c r="G1327" s="605">
        <v>32.130000000000003</v>
      </c>
      <c r="H1327" s="55"/>
      <c r="I1327" s="56">
        <f>F1327*G1327</f>
        <v>4.3375500000000002</v>
      </c>
      <c r="J1327" s="54">
        <f t="shared" si="82"/>
        <v>4.3375500000000002</v>
      </c>
    </row>
    <row r="1328" spans="1:10" ht="12.75">
      <c r="A1328" s="449"/>
      <c r="B1328" s="441"/>
      <c r="C1328" s="476"/>
      <c r="D1328" s="451" t="s">
        <v>696</v>
      </c>
      <c r="E1328" s="470"/>
      <c r="F1328" s="61"/>
      <c r="G1328" s="58"/>
      <c r="H1328" s="59">
        <f>SUM(H1325:H1327)</f>
        <v>10.5</v>
      </c>
      <c r="I1328" s="59">
        <f>SUM(I1325:I1327)</f>
        <v>7.8664500000000004</v>
      </c>
      <c r="J1328" s="60">
        <f>SUM(H1328:I1328)</f>
        <v>18.36645</v>
      </c>
    </row>
    <row r="1329" spans="1:10" ht="12.75">
      <c r="A1329" s="469" t="s">
        <v>1052</v>
      </c>
      <c r="B1329" s="1027" t="s">
        <v>1221</v>
      </c>
      <c r="C1329" s="1028"/>
      <c r="D1329" s="1028"/>
      <c r="E1329" s="457"/>
      <c r="F1329" s="457"/>
      <c r="G1329" s="457"/>
      <c r="H1329" s="457"/>
      <c r="I1329" s="457"/>
      <c r="J1329" s="458"/>
    </row>
    <row r="1331" spans="1:10" ht="12.75">
      <c r="A1331" s="463" t="s">
        <v>697</v>
      </c>
      <c r="B1331" s="463"/>
      <c r="C1331" s="438" t="s">
        <v>2377</v>
      </c>
      <c r="D1331" s="464" t="s">
        <v>990</v>
      </c>
      <c r="E1331" s="376" t="s">
        <v>411</v>
      </c>
      <c r="F1331" s="440" t="s">
        <v>692</v>
      </c>
      <c r="G1331" s="376" t="s">
        <v>693</v>
      </c>
      <c r="H1331" s="440" t="s">
        <v>694</v>
      </c>
      <c r="I1331" s="440" t="s">
        <v>695</v>
      </c>
      <c r="J1331" s="440" t="s">
        <v>696</v>
      </c>
    </row>
    <row r="1332" spans="1:10" ht="12.75">
      <c r="A1332" s="446" t="s">
        <v>699</v>
      </c>
      <c r="B1332" s="465" t="s">
        <v>409</v>
      </c>
      <c r="C1332" s="478" t="s">
        <v>2420</v>
      </c>
      <c r="D1332" s="469" t="s">
        <v>990</v>
      </c>
      <c r="E1332" s="55" t="s">
        <v>15</v>
      </c>
      <c r="F1332" s="51">
        <v>1</v>
      </c>
      <c r="G1332" s="466">
        <v>19.8</v>
      </c>
      <c r="H1332" s="52">
        <f>F1332*G1332</f>
        <v>19.8</v>
      </c>
      <c r="I1332" s="53"/>
      <c r="J1332" s="54">
        <f>F1332*G1332</f>
        <v>19.8</v>
      </c>
    </row>
    <row r="1333" spans="1:10" ht="12.75">
      <c r="A1333" s="446" t="s">
        <v>698</v>
      </c>
      <c r="B1333" s="465" t="s">
        <v>406</v>
      </c>
      <c r="C1333" s="441">
        <v>88248</v>
      </c>
      <c r="D1333" s="447" t="s">
        <v>739</v>
      </c>
      <c r="E1333" s="432" t="s">
        <v>740</v>
      </c>
      <c r="F1333" s="111">
        <v>0.13500000000000001</v>
      </c>
      <c r="G1333" s="605">
        <v>26.14</v>
      </c>
      <c r="H1333" s="52"/>
      <c r="I1333" s="56">
        <f>F1333*G1333</f>
        <v>3.5289000000000001</v>
      </c>
      <c r="J1333" s="54">
        <f t="shared" ref="J1333:J1334" si="83">F1333*G1333</f>
        <v>3.5289000000000001</v>
      </c>
    </row>
    <row r="1334" spans="1:10" ht="12.75">
      <c r="A1334" s="446" t="s">
        <v>698</v>
      </c>
      <c r="B1334" s="465" t="s">
        <v>406</v>
      </c>
      <c r="C1334" s="441">
        <v>88267</v>
      </c>
      <c r="D1334" s="447" t="s">
        <v>741</v>
      </c>
      <c r="E1334" s="432" t="s">
        <v>740</v>
      </c>
      <c r="F1334" s="111">
        <v>0.13500000000000001</v>
      </c>
      <c r="G1334" s="605">
        <v>32.130000000000003</v>
      </c>
      <c r="H1334" s="55"/>
      <c r="I1334" s="56">
        <f>F1334*G1334</f>
        <v>4.3375500000000002</v>
      </c>
      <c r="J1334" s="54">
        <f t="shared" si="83"/>
        <v>4.3375500000000002</v>
      </c>
    </row>
    <row r="1335" spans="1:10" ht="12.75">
      <c r="A1335" s="449"/>
      <c r="B1335" s="441"/>
      <c r="C1335" s="476"/>
      <c r="D1335" s="451" t="s">
        <v>696</v>
      </c>
      <c r="E1335" s="470"/>
      <c r="F1335" s="61"/>
      <c r="G1335" s="58"/>
      <c r="H1335" s="59">
        <f>SUM(H1332:H1334)</f>
        <v>19.8</v>
      </c>
      <c r="I1335" s="59">
        <f>SUM(I1332:I1334)</f>
        <v>7.8664500000000004</v>
      </c>
      <c r="J1335" s="60">
        <f>SUM(H1335:I1335)</f>
        <v>27.666450000000001</v>
      </c>
    </row>
    <row r="1336" spans="1:10" ht="12.75">
      <c r="A1336" s="469" t="s">
        <v>1052</v>
      </c>
      <c r="B1336" s="1027" t="s">
        <v>1221</v>
      </c>
      <c r="C1336" s="1028"/>
      <c r="D1336" s="1028"/>
      <c r="E1336" s="457"/>
      <c r="F1336" s="457"/>
      <c r="G1336" s="457"/>
      <c r="H1336" s="457"/>
      <c r="I1336" s="457"/>
      <c r="J1336" s="458"/>
    </row>
    <row r="1338" spans="1:10" ht="12.75">
      <c r="A1338" s="463" t="s">
        <v>697</v>
      </c>
      <c r="B1338" s="463"/>
      <c r="C1338" s="438" t="s">
        <v>2378</v>
      </c>
      <c r="D1338" s="464" t="s">
        <v>991</v>
      </c>
      <c r="E1338" s="376" t="s">
        <v>411</v>
      </c>
      <c r="F1338" s="440" t="s">
        <v>692</v>
      </c>
      <c r="G1338" s="376" t="s">
        <v>693</v>
      </c>
      <c r="H1338" s="440" t="s">
        <v>694</v>
      </c>
      <c r="I1338" s="440" t="s">
        <v>695</v>
      </c>
      <c r="J1338" s="440" t="s">
        <v>696</v>
      </c>
    </row>
    <row r="1339" spans="1:10" ht="12.75">
      <c r="A1339" s="446" t="s">
        <v>699</v>
      </c>
      <c r="B1339" s="465" t="s">
        <v>409</v>
      </c>
      <c r="C1339" s="478" t="s">
        <v>2420</v>
      </c>
      <c r="D1339" s="469" t="s">
        <v>991</v>
      </c>
      <c r="E1339" s="55" t="s">
        <v>15</v>
      </c>
      <c r="F1339" s="51">
        <v>1</v>
      </c>
      <c r="G1339" s="466">
        <v>28</v>
      </c>
      <c r="H1339" s="52">
        <f>F1339*G1339</f>
        <v>28</v>
      </c>
      <c r="I1339" s="53"/>
      <c r="J1339" s="54">
        <f>F1339*G1339</f>
        <v>28</v>
      </c>
    </row>
    <row r="1340" spans="1:10" ht="12.75">
      <c r="A1340" s="446" t="s">
        <v>698</v>
      </c>
      <c r="B1340" s="465" t="s">
        <v>406</v>
      </c>
      <c r="C1340" s="441">
        <v>88248</v>
      </c>
      <c r="D1340" s="447" t="s">
        <v>739</v>
      </c>
      <c r="E1340" s="432" t="s">
        <v>740</v>
      </c>
      <c r="F1340" s="111">
        <v>0.13500000000000001</v>
      </c>
      <c r="G1340" s="605">
        <v>26.14</v>
      </c>
      <c r="H1340" s="52"/>
      <c r="I1340" s="56">
        <f>F1340*G1340</f>
        <v>3.5289000000000001</v>
      </c>
      <c r="J1340" s="54">
        <f t="shared" ref="J1340:J1341" si="84">F1340*G1340</f>
        <v>3.5289000000000001</v>
      </c>
    </row>
    <row r="1341" spans="1:10" ht="12.75">
      <c r="A1341" s="446" t="s">
        <v>698</v>
      </c>
      <c r="B1341" s="465" t="s">
        <v>406</v>
      </c>
      <c r="C1341" s="441">
        <v>88267</v>
      </c>
      <c r="D1341" s="447" t="s">
        <v>741</v>
      </c>
      <c r="E1341" s="432" t="s">
        <v>740</v>
      </c>
      <c r="F1341" s="111">
        <v>0.13500000000000001</v>
      </c>
      <c r="G1341" s="605">
        <v>32.130000000000003</v>
      </c>
      <c r="H1341" s="55"/>
      <c r="I1341" s="56">
        <f>F1341*G1341</f>
        <v>4.3375500000000002</v>
      </c>
      <c r="J1341" s="54">
        <f t="shared" si="84"/>
        <v>4.3375500000000002</v>
      </c>
    </row>
    <row r="1342" spans="1:10" ht="12.75">
      <c r="A1342" s="449"/>
      <c r="B1342" s="441"/>
      <c r="C1342" s="476"/>
      <c r="D1342" s="451" t="s">
        <v>696</v>
      </c>
      <c r="E1342" s="470"/>
      <c r="F1342" s="61"/>
      <c r="G1342" s="58"/>
      <c r="H1342" s="59">
        <f>SUM(H1339:H1341)</f>
        <v>28</v>
      </c>
      <c r="I1342" s="59">
        <f>SUM(I1339:I1341)</f>
        <v>7.8664500000000004</v>
      </c>
      <c r="J1342" s="60">
        <f>SUM(H1342:I1342)</f>
        <v>35.86645</v>
      </c>
    </row>
    <row r="1343" spans="1:10" ht="12.75">
      <c r="A1343" s="469" t="s">
        <v>1052</v>
      </c>
      <c r="B1343" s="1027" t="s">
        <v>1221</v>
      </c>
      <c r="C1343" s="1028"/>
      <c r="D1343" s="1028"/>
      <c r="E1343" s="457"/>
      <c r="F1343" s="457"/>
      <c r="G1343" s="457"/>
      <c r="H1343" s="457"/>
      <c r="I1343" s="457"/>
      <c r="J1343" s="458"/>
    </row>
    <row r="1345" spans="1:10" ht="25.5">
      <c r="A1345" s="463" t="s">
        <v>697</v>
      </c>
      <c r="B1345" s="463"/>
      <c r="C1345" s="438" t="s">
        <v>2379</v>
      </c>
      <c r="D1345" s="464" t="s">
        <v>992</v>
      </c>
      <c r="E1345" s="376" t="s">
        <v>411</v>
      </c>
      <c r="F1345" s="440" t="s">
        <v>692</v>
      </c>
      <c r="G1345" s="376" t="s">
        <v>693</v>
      </c>
      <c r="H1345" s="440" t="s">
        <v>694</v>
      </c>
      <c r="I1345" s="440" t="s">
        <v>695</v>
      </c>
      <c r="J1345" s="440" t="s">
        <v>696</v>
      </c>
    </row>
    <row r="1346" spans="1:10" ht="12.75">
      <c r="A1346" s="446" t="s">
        <v>699</v>
      </c>
      <c r="B1346" s="465" t="s">
        <v>409</v>
      </c>
      <c r="C1346" s="478" t="s">
        <v>2420</v>
      </c>
      <c r="D1346" s="469" t="s">
        <v>992</v>
      </c>
      <c r="E1346" s="55" t="s">
        <v>15</v>
      </c>
      <c r="F1346" s="51">
        <v>1</v>
      </c>
      <c r="G1346" s="466">
        <v>1620</v>
      </c>
      <c r="H1346" s="52">
        <f>F1346*G1346</f>
        <v>1620</v>
      </c>
      <c r="I1346" s="53"/>
      <c r="J1346" s="54">
        <f>F1346*G1346</f>
        <v>1620</v>
      </c>
    </row>
    <row r="1347" spans="1:10" ht="12.75">
      <c r="A1347" s="446" t="s">
        <v>698</v>
      </c>
      <c r="B1347" s="465" t="s">
        <v>406</v>
      </c>
      <c r="C1347" s="441">
        <v>88248</v>
      </c>
      <c r="D1347" s="447" t="s">
        <v>739</v>
      </c>
      <c r="E1347" s="432" t="s">
        <v>740</v>
      </c>
      <c r="F1347" s="111">
        <v>0.13500000000000001</v>
      </c>
      <c r="G1347" s="605">
        <v>26.14</v>
      </c>
      <c r="H1347" s="52"/>
      <c r="I1347" s="56">
        <f>F1347*G1347</f>
        <v>3.5289000000000001</v>
      </c>
      <c r="J1347" s="54">
        <f t="shared" ref="J1347:J1348" si="85">F1347*G1347</f>
        <v>3.5289000000000001</v>
      </c>
    </row>
    <row r="1348" spans="1:10" ht="12.75">
      <c r="A1348" s="446" t="s">
        <v>698</v>
      </c>
      <c r="B1348" s="465" t="s">
        <v>406</v>
      </c>
      <c r="C1348" s="441">
        <v>88267</v>
      </c>
      <c r="D1348" s="447" t="s">
        <v>741</v>
      </c>
      <c r="E1348" s="432" t="s">
        <v>740</v>
      </c>
      <c r="F1348" s="111">
        <v>0.13500000000000001</v>
      </c>
      <c r="G1348" s="605">
        <v>32.130000000000003</v>
      </c>
      <c r="H1348" s="55"/>
      <c r="I1348" s="56">
        <f>F1348*G1348</f>
        <v>4.3375500000000002</v>
      </c>
      <c r="J1348" s="54">
        <f t="shared" si="85"/>
        <v>4.3375500000000002</v>
      </c>
    </row>
    <row r="1349" spans="1:10" ht="12.75">
      <c r="A1349" s="449"/>
      <c r="B1349" s="441"/>
      <c r="C1349" s="476"/>
      <c r="D1349" s="451" t="s">
        <v>696</v>
      </c>
      <c r="E1349" s="470"/>
      <c r="F1349" s="61"/>
      <c r="G1349" s="58"/>
      <c r="H1349" s="59">
        <f>SUM(H1346:H1348)</f>
        <v>1620</v>
      </c>
      <c r="I1349" s="59">
        <f>SUM(I1346:I1348)</f>
        <v>7.8664500000000004</v>
      </c>
      <c r="J1349" s="60">
        <f>SUM(H1349:I1349)</f>
        <v>1627.86645</v>
      </c>
    </row>
    <row r="1350" spans="1:10" ht="12.75">
      <c r="A1350" s="469" t="s">
        <v>1052</v>
      </c>
      <c r="B1350" s="1027" t="s">
        <v>1221</v>
      </c>
      <c r="C1350" s="1028"/>
      <c r="D1350" s="1028"/>
      <c r="E1350" s="457"/>
      <c r="F1350" s="457"/>
      <c r="G1350" s="457"/>
      <c r="H1350" s="457"/>
      <c r="I1350" s="457"/>
      <c r="J1350" s="458"/>
    </row>
    <row r="1352" spans="1:10" ht="12.75">
      <c r="A1352" s="463" t="s">
        <v>697</v>
      </c>
      <c r="B1352" s="463"/>
      <c r="C1352" s="438" t="s">
        <v>2380</v>
      </c>
      <c r="D1352" s="464" t="s">
        <v>993</v>
      </c>
      <c r="E1352" s="376" t="s">
        <v>411</v>
      </c>
      <c r="F1352" s="440" t="s">
        <v>692</v>
      </c>
      <c r="G1352" s="376" t="s">
        <v>693</v>
      </c>
      <c r="H1352" s="440" t="s">
        <v>694</v>
      </c>
      <c r="I1352" s="440" t="s">
        <v>695</v>
      </c>
      <c r="J1352" s="440" t="s">
        <v>696</v>
      </c>
    </row>
    <row r="1353" spans="1:10" ht="12.75">
      <c r="A1353" s="446" t="s">
        <v>699</v>
      </c>
      <c r="B1353" s="465" t="s">
        <v>409</v>
      </c>
      <c r="C1353" s="478" t="s">
        <v>2420</v>
      </c>
      <c r="D1353" s="469" t="s">
        <v>993</v>
      </c>
      <c r="E1353" s="55" t="s">
        <v>15</v>
      </c>
      <c r="F1353" s="51">
        <v>1</v>
      </c>
      <c r="G1353" s="466">
        <v>920</v>
      </c>
      <c r="H1353" s="52">
        <f>F1353*G1353</f>
        <v>920</v>
      </c>
      <c r="I1353" s="53"/>
      <c r="J1353" s="54">
        <f>F1353*G1353</f>
        <v>920</v>
      </c>
    </row>
    <row r="1354" spans="1:10" ht="12.75">
      <c r="A1354" s="446" t="s">
        <v>698</v>
      </c>
      <c r="B1354" s="465" t="s">
        <v>406</v>
      </c>
      <c r="C1354" s="441">
        <v>88248</v>
      </c>
      <c r="D1354" s="447" t="s">
        <v>739</v>
      </c>
      <c r="E1354" s="432" t="s">
        <v>740</v>
      </c>
      <c r="F1354" s="111">
        <v>0.13500000000000001</v>
      </c>
      <c r="G1354" s="605">
        <v>26.14</v>
      </c>
      <c r="H1354" s="52"/>
      <c r="I1354" s="56">
        <f>F1354*G1354</f>
        <v>3.5289000000000001</v>
      </c>
      <c r="J1354" s="54">
        <f t="shared" ref="J1354:J1355" si="86">F1354*G1354</f>
        <v>3.5289000000000001</v>
      </c>
    </row>
    <row r="1355" spans="1:10" ht="12.75">
      <c r="A1355" s="446" t="s">
        <v>698</v>
      </c>
      <c r="B1355" s="465" t="s">
        <v>406</v>
      </c>
      <c r="C1355" s="441">
        <v>88267</v>
      </c>
      <c r="D1355" s="447" t="s">
        <v>741</v>
      </c>
      <c r="E1355" s="432" t="s">
        <v>740</v>
      </c>
      <c r="F1355" s="111">
        <v>0.13500000000000001</v>
      </c>
      <c r="G1355" s="605">
        <v>32.130000000000003</v>
      </c>
      <c r="H1355" s="55"/>
      <c r="I1355" s="56">
        <f>F1355*G1355</f>
        <v>4.3375500000000002</v>
      </c>
      <c r="J1355" s="54">
        <f t="shared" si="86"/>
        <v>4.3375500000000002</v>
      </c>
    </row>
    <row r="1356" spans="1:10" ht="12.75">
      <c r="A1356" s="449"/>
      <c r="B1356" s="441"/>
      <c r="C1356" s="476"/>
      <c r="D1356" s="451" t="s">
        <v>696</v>
      </c>
      <c r="E1356" s="470"/>
      <c r="F1356" s="61"/>
      <c r="G1356" s="58"/>
      <c r="H1356" s="59">
        <f>SUM(H1353:H1355)</f>
        <v>920</v>
      </c>
      <c r="I1356" s="59">
        <f>SUM(I1353:I1355)</f>
        <v>7.8664500000000004</v>
      </c>
      <c r="J1356" s="60">
        <f>SUM(H1356:I1356)</f>
        <v>927.86644999999999</v>
      </c>
    </row>
    <row r="1357" spans="1:10" ht="12.75">
      <c r="A1357" s="469" t="s">
        <v>1052</v>
      </c>
      <c r="B1357" s="1027" t="s">
        <v>1221</v>
      </c>
      <c r="C1357" s="1028"/>
      <c r="D1357" s="1028"/>
      <c r="E1357" s="457"/>
      <c r="F1357" s="457"/>
      <c r="G1357" s="457"/>
      <c r="H1357" s="457"/>
      <c r="I1357" s="457"/>
      <c r="J1357" s="458"/>
    </row>
    <row r="1359" spans="1:10" ht="12.75">
      <c r="A1359" s="463" t="s">
        <v>697</v>
      </c>
      <c r="B1359" s="463"/>
      <c r="C1359" s="438" t="s">
        <v>2381</v>
      </c>
      <c r="D1359" s="464" t="s">
        <v>994</v>
      </c>
      <c r="E1359" s="376" t="s">
        <v>411</v>
      </c>
      <c r="F1359" s="440" t="s">
        <v>692</v>
      </c>
      <c r="G1359" s="376" t="s">
        <v>693</v>
      </c>
      <c r="H1359" s="440" t="s">
        <v>694</v>
      </c>
      <c r="I1359" s="440" t="s">
        <v>695</v>
      </c>
      <c r="J1359" s="440" t="s">
        <v>696</v>
      </c>
    </row>
    <row r="1360" spans="1:10" ht="12.75">
      <c r="A1360" s="446" t="s">
        <v>699</v>
      </c>
      <c r="B1360" s="465" t="s">
        <v>409</v>
      </c>
      <c r="C1360" s="478" t="s">
        <v>2420</v>
      </c>
      <c r="D1360" s="469" t="s">
        <v>994</v>
      </c>
      <c r="E1360" s="55" t="s">
        <v>15</v>
      </c>
      <c r="F1360" s="51">
        <v>1</v>
      </c>
      <c r="G1360" s="466">
        <v>10.5</v>
      </c>
      <c r="H1360" s="52">
        <f>F1360*G1360</f>
        <v>10.5</v>
      </c>
      <c r="I1360" s="53"/>
      <c r="J1360" s="54">
        <f>F1360*G1360</f>
        <v>10.5</v>
      </c>
    </row>
    <row r="1361" spans="1:10" ht="12.75">
      <c r="A1361" s="446" t="s">
        <v>698</v>
      </c>
      <c r="B1361" s="465" t="s">
        <v>406</v>
      </c>
      <c r="C1361" s="441">
        <v>88248</v>
      </c>
      <c r="D1361" s="447" t="s">
        <v>739</v>
      </c>
      <c r="E1361" s="432" t="s">
        <v>740</v>
      </c>
      <c r="F1361" s="111">
        <v>0.13500000000000001</v>
      </c>
      <c r="G1361" s="605">
        <v>26.14</v>
      </c>
      <c r="H1361" s="52"/>
      <c r="I1361" s="56">
        <f>F1361*G1361</f>
        <v>3.5289000000000001</v>
      </c>
      <c r="J1361" s="54">
        <f t="shared" ref="J1361:J1362" si="87">F1361*G1361</f>
        <v>3.5289000000000001</v>
      </c>
    </row>
    <row r="1362" spans="1:10" ht="12.75">
      <c r="A1362" s="446" t="s">
        <v>698</v>
      </c>
      <c r="B1362" s="465" t="s">
        <v>406</v>
      </c>
      <c r="C1362" s="441">
        <v>88267</v>
      </c>
      <c r="D1362" s="447" t="s">
        <v>741</v>
      </c>
      <c r="E1362" s="432" t="s">
        <v>740</v>
      </c>
      <c r="F1362" s="111">
        <v>0.13500000000000001</v>
      </c>
      <c r="G1362" s="605">
        <v>32.130000000000003</v>
      </c>
      <c r="H1362" s="55"/>
      <c r="I1362" s="56">
        <f>F1362*G1362</f>
        <v>4.3375500000000002</v>
      </c>
      <c r="J1362" s="54">
        <f t="shared" si="87"/>
        <v>4.3375500000000002</v>
      </c>
    </row>
    <row r="1363" spans="1:10" ht="12.75">
      <c r="A1363" s="449"/>
      <c r="B1363" s="441"/>
      <c r="C1363" s="476"/>
      <c r="D1363" s="451" t="s">
        <v>696</v>
      </c>
      <c r="E1363" s="470"/>
      <c r="F1363" s="61"/>
      <c r="G1363" s="58"/>
      <c r="H1363" s="59">
        <f>SUM(H1360:H1362)</f>
        <v>10.5</v>
      </c>
      <c r="I1363" s="59">
        <f>SUM(I1360:I1362)</f>
        <v>7.8664500000000004</v>
      </c>
      <c r="J1363" s="60">
        <f>SUM(H1363:I1363)</f>
        <v>18.36645</v>
      </c>
    </row>
    <row r="1364" spans="1:10" ht="12.75">
      <c r="A1364" s="469" t="s">
        <v>1052</v>
      </c>
      <c r="B1364" s="1027" t="s">
        <v>1221</v>
      </c>
      <c r="C1364" s="1028"/>
      <c r="D1364" s="1028"/>
      <c r="E1364" s="457"/>
      <c r="F1364" s="457"/>
      <c r="G1364" s="457"/>
      <c r="H1364" s="457"/>
      <c r="I1364" s="457"/>
      <c r="J1364" s="458"/>
    </row>
    <row r="1366" spans="1:10" ht="12.75">
      <c r="A1366" s="463" t="s">
        <v>697</v>
      </c>
      <c r="B1366" s="463"/>
      <c r="C1366" s="438" t="s">
        <v>2382</v>
      </c>
      <c r="D1366" s="464" t="s">
        <v>995</v>
      </c>
      <c r="E1366" s="376" t="s">
        <v>411</v>
      </c>
      <c r="F1366" s="440" t="s">
        <v>692</v>
      </c>
      <c r="G1366" s="376" t="s">
        <v>693</v>
      </c>
      <c r="H1366" s="440" t="s">
        <v>694</v>
      </c>
      <c r="I1366" s="440" t="s">
        <v>695</v>
      </c>
      <c r="J1366" s="440" t="s">
        <v>696</v>
      </c>
    </row>
    <row r="1367" spans="1:10" ht="12.75">
      <c r="A1367" s="446" t="s">
        <v>699</v>
      </c>
      <c r="B1367" s="465" t="s">
        <v>409</v>
      </c>
      <c r="C1367" s="478" t="s">
        <v>2420</v>
      </c>
      <c r="D1367" s="469" t="s">
        <v>995</v>
      </c>
      <c r="E1367" s="55" t="s">
        <v>15</v>
      </c>
      <c r="F1367" s="51">
        <v>1</v>
      </c>
      <c r="G1367" s="466">
        <v>81</v>
      </c>
      <c r="H1367" s="52">
        <f>F1367*G1367</f>
        <v>81</v>
      </c>
      <c r="I1367" s="53"/>
      <c r="J1367" s="54">
        <f>F1367*G1367</f>
        <v>81</v>
      </c>
    </row>
    <row r="1368" spans="1:10" ht="12.75">
      <c r="A1368" s="446" t="s">
        <v>698</v>
      </c>
      <c r="B1368" s="465" t="s">
        <v>406</v>
      </c>
      <c r="C1368" s="441">
        <v>88248</v>
      </c>
      <c r="D1368" s="447" t="s">
        <v>739</v>
      </c>
      <c r="E1368" s="432" t="s">
        <v>740</v>
      </c>
      <c r="F1368" s="111">
        <v>0.13500000000000001</v>
      </c>
      <c r="G1368" s="605">
        <v>26.14</v>
      </c>
      <c r="H1368" s="52"/>
      <c r="I1368" s="56">
        <f>F1368*G1368</f>
        <v>3.5289000000000001</v>
      </c>
      <c r="J1368" s="54">
        <f t="shared" ref="J1368:J1369" si="88">F1368*G1368</f>
        <v>3.5289000000000001</v>
      </c>
    </row>
    <row r="1369" spans="1:10" ht="12.75">
      <c r="A1369" s="446" t="s">
        <v>698</v>
      </c>
      <c r="B1369" s="465" t="s">
        <v>406</v>
      </c>
      <c r="C1369" s="441">
        <v>88267</v>
      </c>
      <c r="D1369" s="447" t="s">
        <v>741</v>
      </c>
      <c r="E1369" s="432" t="s">
        <v>740</v>
      </c>
      <c r="F1369" s="111">
        <v>0.13500000000000001</v>
      </c>
      <c r="G1369" s="605">
        <v>32.130000000000003</v>
      </c>
      <c r="H1369" s="55"/>
      <c r="I1369" s="56">
        <f>F1369*G1369</f>
        <v>4.3375500000000002</v>
      </c>
      <c r="J1369" s="54">
        <f t="shared" si="88"/>
        <v>4.3375500000000002</v>
      </c>
    </row>
    <row r="1370" spans="1:10" ht="12.75">
      <c r="A1370" s="449"/>
      <c r="B1370" s="441"/>
      <c r="C1370" s="476"/>
      <c r="D1370" s="451" t="s">
        <v>696</v>
      </c>
      <c r="E1370" s="470"/>
      <c r="F1370" s="61"/>
      <c r="G1370" s="58"/>
      <c r="H1370" s="59">
        <f>SUM(H1367:H1369)</f>
        <v>81</v>
      </c>
      <c r="I1370" s="59">
        <f>SUM(I1367:I1369)</f>
        <v>7.8664500000000004</v>
      </c>
      <c r="J1370" s="60">
        <f>SUM(H1370:I1370)</f>
        <v>88.86645</v>
      </c>
    </row>
    <row r="1371" spans="1:10" ht="12.75">
      <c r="A1371" s="469" t="s">
        <v>1052</v>
      </c>
      <c r="B1371" s="1027" t="s">
        <v>1221</v>
      </c>
      <c r="C1371" s="1028"/>
      <c r="D1371" s="1028"/>
      <c r="E1371" s="457"/>
      <c r="F1371" s="457"/>
      <c r="G1371" s="457"/>
      <c r="H1371" s="457"/>
      <c r="I1371" s="457"/>
      <c r="J1371" s="458"/>
    </row>
    <row r="1373" spans="1:10" ht="12.75">
      <c r="A1373" s="463" t="s">
        <v>697</v>
      </c>
      <c r="B1373" s="463"/>
      <c r="C1373" s="438" t="s">
        <v>2383</v>
      </c>
      <c r="D1373" s="464" t="s">
        <v>996</v>
      </c>
      <c r="E1373" s="376" t="s">
        <v>411</v>
      </c>
      <c r="F1373" s="440" t="s">
        <v>692</v>
      </c>
      <c r="G1373" s="376" t="s">
        <v>693</v>
      </c>
      <c r="H1373" s="440" t="s">
        <v>694</v>
      </c>
      <c r="I1373" s="440" t="s">
        <v>695</v>
      </c>
      <c r="J1373" s="440" t="s">
        <v>696</v>
      </c>
    </row>
    <row r="1374" spans="1:10" ht="12.75">
      <c r="A1374" s="446" t="s">
        <v>699</v>
      </c>
      <c r="B1374" s="465" t="s">
        <v>409</v>
      </c>
      <c r="C1374" s="478" t="s">
        <v>2420</v>
      </c>
      <c r="D1374" s="469" t="s">
        <v>996</v>
      </c>
      <c r="E1374" s="55" t="s">
        <v>15</v>
      </c>
      <c r="F1374" s="51">
        <v>1</v>
      </c>
      <c r="G1374" s="466">
        <v>99.8</v>
      </c>
      <c r="H1374" s="52">
        <f>F1374*G1374</f>
        <v>99.8</v>
      </c>
      <c r="I1374" s="53"/>
      <c r="J1374" s="54">
        <f>F1374*G1374</f>
        <v>99.8</v>
      </c>
    </row>
    <row r="1375" spans="1:10" ht="12.75">
      <c r="A1375" s="446" t="s">
        <v>698</v>
      </c>
      <c r="B1375" s="465" t="s">
        <v>406</v>
      </c>
      <c r="C1375" s="441">
        <v>88248</v>
      </c>
      <c r="D1375" s="447" t="s">
        <v>739</v>
      </c>
      <c r="E1375" s="432" t="s">
        <v>740</v>
      </c>
      <c r="F1375" s="111">
        <v>0.13500000000000001</v>
      </c>
      <c r="G1375" s="605">
        <v>26.14</v>
      </c>
      <c r="H1375" s="52"/>
      <c r="I1375" s="56">
        <f>F1375*G1375</f>
        <v>3.5289000000000001</v>
      </c>
      <c r="J1375" s="54">
        <f t="shared" ref="J1375:J1376" si="89">F1375*G1375</f>
        <v>3.5289000000000001</v>
      </c>
    </row>
    <row r="1376" spans="1:10" ht="12.75">
      <c r="A1376" s="446" t="s">
        <v>698</v>
      </c>
      <c r="B1376" s="465" t="s">
        <v>406</v>
      </c>
      <c r="C1376" s="441">
        <v>88267</v>
      </c>
      <c r="D1376" s="447" t="s">
        <v>741</v>
      </c>
      <c r="E1376" s="432" t="s">
        <v>740</v>
      </c>
      <c r="F1376" s="111">
        <v>0.13500000000000001</v>
      </c>
      <c r="G1376" s="605">
        <v>32.130000000000003</v>
      </c>
      <c r="H1376" s="55"/>
      <c r="I1376" s="56">
        <f>F1376*G1376</f>
        <v>4.3375500000000002</v>
      </c>
      <c r="J1376" s="54">
        <f t="shared" si="89"/>
        <v>4.3375500000000002</v>
      </c>
    </row>
    <row r="1377" spans="1:10" ht="12.75">
      <c r="A1377" s="449"/>
      <c r="B1377" s="441"/>
      <c r="C1377" s="476"/>
      <c r="D1377" s="451" t="s">
        <v>696</v>
      </c>
      <c r="E1377" s="470"/>
      <c r="F1377" s="61"/>
      <c r="G1377" s="58"/>
      <c r="H1377" s="59">
        <f>SUM(H1374:H1376)</f>
        <v>99.8</v>
      </c>
      <c r="I1377" s="59">
        <f>SUM(I1374:I1376)</f>
        <v>7.8664500000000004</v>
      </c>
      <c r="J1377" s="60">
        <f>SUM(H1377:I1377)</f>
        <v>107.66645</v>
      </c>
    </row>
    <row r="1378" spans="1:10" ht="12.75">
      <c r="A1378" s="469" t="s">
        <v>1052</v>
      </c>
      <c r="B1378" s="1027" t="s">
        <v>1221</v>
      </c>
      <c r="C1378" s="1028"/>
      <c r="D1378" s="1028"/>
      <c r="E1378" s="457"/>
      <c r="F1378" s="457"/>
      <c r="G1378" s="457"/>
      <c r="H1378" s="457"/>
      <c r="I1378" s="457"/>
      <c r="J1378" s="458"/>
    </row>
    <row r="1380" spans="1:10" ht="12.75">
      <c r="A1380" s="463" t="s">
        <v>697</v>
      </c>
      <c r="B1380" s="463"/>
      <c r="C1380" s="438" t="s">
        <v>2384</v>
      </c>
      <c r="D1380" s="464" t="s">
        <v>989</v>
      </c>
      <c r="E1380" s="376" t="s">
        <v>411</v>
      </c>
      <c r="F1380" s="440" t="s">
        <v>692</v>
      </c>
      <c r="G1380" s="376" t="s">
        <v>693</v>
      </c>
      <c r="H1380" s="440" t="s">
        <v>694</v>
      </c>
      <c r="I1380" s="440" t="s">
        <v>695</v>
      </c>
      <c r="J1380" s="440" t="s">
        <v>696</v>
      </c>
    </row>
    <row r="1381" spans="1:10" ht="12.75">
      <c r="A1381" s="446" t="s">
        <v>699</v>
      </c>
      <c r="B1381" s="465" t="s">
        <v>409</v>
      </c>
      <c r="C1381" s="478" t="s">
        <v>2420</v>
      </c>
      <c r="D1381" s="469" t="s">
        <v>989</v>
      </c>
      <c r="E1381" s="55" t="s">
        <v>15</v>
      </c>
      <c r="F1381" s="51">
        <v>1</v>
      </c>
      <c r="G1381" s="466">
        <v>21.4</v>
      </c>
      <c r="H1381" s="52">
        <f>F1381*G1381</f>
        <v>21.4</v>
      </c>
      <c r="I1381" s="53"/>
      <c r="J1381" s="54">
        <f>F1381*G1381</f>
        <v>21.4</v>
      </c>
    </row>
    <row r="1382" spans="1:10" ht="12.75">
      <c r="A1382" s="446" t="s">
        <v>698</v>
      </c>
      <c r="B1382" s="465" t="s">
        <v>406</v>
      </c>
      <c r="C1382" s="441">
        <v>88248</v>
      </c>
      <c r="D1382" s="447" t="s">
        <v>739</v>
      </c>
      <c r="E1382" s="432" t="s">
        <v>740</v>
      </c>
      <c r="F1382" s="111">
        <v>0.13500000000000001</v>
      </c>
      <c r="G1382" s="605">
        <v>26.14</v>
      </c>
      <c r="H1382" s="52"/>
      <c r="I1382" s="56">
        <f>F1382*G1382</f>
        <v>3.5289000000000001</v>
      </c>
      <c r="J1382" s="54">
        <f t="shared" ref="J1382:J1383" si="90">F1382*G1382</f>
        <v>3.5289000000000001</v>
      </c>
    </row>
    <row r="1383" spans="1:10" ht="12.75">
      <c r="A1383" s="446" t="s">
        <v>698</v>
      </c>
      <c r="B1383" s="465" t="s">
        <v>406</v>
      </c>
      <c r="C1383" s="441">
        <v>88267</v>
      </c>
      <c r="D1383" s="447" t="s">
        <v>741</v>
      </c>
      <c r="E1383" s="432" t="s">
        <v>740</v>
      </c>
      <c r="F1383" s="111">
        <v>0.13500000000000001</v>
      </c>
      <c r="G1383" s="605">
        <v>32.130000000000003</v>
      </c>
      <c r="H1383" s="55"/>
      <c r="I1383" s="56">
        <f>F1383*G1383</f>
        <v>4.3375500000000002</v>
      </c>
      <c r="J1383" s="54">
        <f t="shared" si="90"/>
        <v>4.3375500000000002</v>
      </c>
    </row>
    <row r="1384" spans="1:10" ht="12.75">
      <c r="A1384" s="449"/>
      <c r="B1384" s="441"/>
      <c r="C1384" s="476"/>
      <c r="D1384" s="451" t="s">
        <v>696</v>
      </c>
      <c r="E1384" s="470"/>
      <c r="F1384" s="61"/>
      <c r="G1384" s="58"/>
      <c r="H1384" s="59">
        <f>SUM(H1381:H1383)</f>
        <v>21.4</v>
      </c>
      <c r="I1384" s="59">
        <f>SUM(I1381:I1383)</f>
        <v>7.8664500000000004</v>
      </c>
      <c r="J1384" s="60">
        <f>SUM(H1384:I1384)</f>
        <v>29.266449999999999</v>
      </c>
    </row>
    <row r="1385" spans="1:10" ht="12.75">
      <c r="A1385" s="469" t="s">
        <v>1052</v>
      </c>
      <c r="B1385" s="1027" t="s">
        <v>1221</v>
      </c>
      <c r="C1385" s="1028"/>
      <c r="D1385" s="1028"/>
      <c r="E1385" s="457"/>
      <c r="F1385" s="457"/>
      <c r="G1385" s="457"/>
      <c r="H1385" s="457"/>
      <c r="I1385" s="457"/>
      <c r="J1385" s="458"/>
    </row>
    <row r="1387" spans="1:10" ht="12.75">
      <c r="A1387" s="463" t="s">
        <v>697</v>
      </c>
      <c r="B1387" s="463"/>
      <c r="C1387" s="438" t="s">
        <v>2385</v>
      </c>
      <c r="D1387" s="464" t="s">
        <v>997</v>
      </c>
      <c r="E1387" s="376" t="s">
        <v>411</v>
      </c>
      <c r="F1387" s="440" t="s">
        <v>692</v>
      </c>
      <c r="G1387" s="376" t="s">
        <v>693</v>
      </c>
      <c r="H1387" s="440" t="s">
        <v>694</v>
      </c>
      <c r="I1387" s="440" t="s">
        <v>695</v>
      </c>
      <c r="J1387" s="440" t="s">
        <v>696</v>
      </c>
    </row>
    <row r="1388" spans="1:10" ht="12.75">
      <c r="A1388" s="446" t="s">
        <v>699</v>
      </c>
      <c r="B1388" s="465" t="s">
        <v>409</v>
      </c>
      <c r="C1388" s="478" t="s">
        <v>2420</v>
      </c>
      <c r="D1388" s="469" t="s">
        <v>997</v>
      </c>
      <c r="E1388" s="55" t="s">
        <v>15</v>
      </c>
      <c r="F1388" s="51">
        <v>1</v>
      </c>
      <c r="G1388" s="466">
        <v>35.1</v>
      </c>
      <c r="H1388" s="52">
        <f>F1388*G1388</f>
        <v>35.1</v>
      </c>
      <c r="I1388" s="53"/>
      <c r="J1388" s="54">
        <f>F1388*G1388</f>
        <v>35.1</v>
      </c>
    </row>
    <row r="1389" spans="1:10" ht="12.75">
      <c r="A1389" s="446" t="s">
        <v>698</v>
      </c>
      <c r="B1389" s="465" t="s">
        <v>406</v>
      </c>
      <c r="C1389" s="441">
        <v>88248</v>
      </c>
      <c r="D1389" s="447" t="s">
        <v>739</v>
      </c>
      <c r="E1389" s="432" t="s">
        <v>740</v>
      </c>
      <c r="F1389" s="111">
        <v>0.13500000000000001</v>
      </c>
      <c r="G1389" s="605">
        <v>26.14</v>
      </c>
      <c r="H1389" s="52"/>
      <c r="I1389" s="56">
        <f>F1389*G1389</f>
        <v>3.5289000000000001</v>
      </c>
      <c r="J1389" s="54">
        <f t="shared" ref="J1389:J1390" si="91">F1389*G1389</f>
        <v>3.5289000000000001</v>
      </c>
    </row>
    <row r="1390" spans="1:10" ht="12.75">
      <c r="A1390" s="446" t="s">
        <v>698</v>
      </c>
      <c r="B1390" s="465" t="s">
        <v>406</v>
      </c>
      <c r="C1390" s="441">
        <v>88267</v>
      </c>
      <c r="D1390" s="447" t="s">
        <v>741</v>
      </c>
      <c r="E1390" s="432" t="s">
        <v>740</v>
      </c>
      <c r="F1390" s="111">
        <v>0.13500000000000001</v>
      </c>
      <c r="G1390" s="605">
        <v>32.130000000000003</v>
      </c>
      <c r="H1390" s="55"/>
      <c r="I1390" s="56">
        <f>F1390*G1390</f>
        <v>4.3375500000000002</v>
      </c>
      <c r="J1390" s="54">
        <f t="shared" si="91"/>
        <v>4.3375500000000002</v>
      </c>
    </row>
    <row r="1391" spans="1:10" ht="12.75">
      <c r="A1391" s="449"/>
      <c r="B1391" s="441"/>
      <c r="C1391" s="476"/>
      <c r="D1391" s="451" t="s">
        <v>696</v>
      </c>
      <c r="E1391" s="470"/>
      <c r="F1391" s="61"/>
      <c r="G1391" s="58"/>
      <c r="H1391" s="59">
        <f>SUM(H1388:H1390)</f>
        <v>35.1</v>
      </c>
      <c r="I1391" s="59">
        <f>SUM(I1388:I1390)</f>
        <v>7.8664500000000004</v>
      </c>
      <c r="J1391" s="60">
        <f>SUM(H1391:I1391)</f>
        <v>42.966450000000002</v>
      </c>
    </row>
    <row r="1392" spans="1:10" ht="12.75">
      <c r="A1392" s="469" t="s">
        <v>1052</v>
      </c>
      <c r="B1392" s="1027" t="s">
        <v>1221</v>
      </c>
      <c r="C1392" s="1028"/>
      <c r="D1392" s="1028"/>
      <c r="E1392" s="457"/>
      <c r="F1392" s="457"/>
      <c r="G1392" s="457"/>
      <c r="H1392" s="457"/>
      <c r="I1392" s="457"/>
      <c r="J1392" s="458"/>
    </row>
    <row r="1394" spans="1:10" ht="12.75">
      <c r="A1394" s="463" t="s">
        <v>697</v>
      </c>
      <c r="B1394" s="463"/>
      <c r="C1394" s="438" t="s">
        <v>2386</v>
      </c>
      <c r="D1394" s="464" t="s">
        <v>998</v>
      </c>
      <c r="E1394" s="376" t="s">
        <v>411</v>
      </c>
      <c r="F1394" s="440" t="s">
        <v>692</v>
      </c>
      <c r="G1394" s="376" t="s">
        <v>693</v>
      </c>
      <c r="H1394" s="440" t="s">
        <v>694</v>
      </c>
      <c r="I1394" s="440" t="s">
        <v>695</v>
      </c>
      <c r="J1394" s="440" t="s">
        <v>696</v>
      </c>
    </row>
    <row r="1395" spans="1:10" ht="12.75">
      <c r="A1395" s="446" t="s">
        <v>699</v>
      </c>
      <c r="B1395" s="465" t="s">
        <v>409</v>
      </c>
      <c r="C1395" s="478" t="s">
        <v>2420</v>
      </c>
      <c r="D1395" s="469" t="s">
        <v>998</v>
      </c>
      <c r="E1395" s="55" t="s">
        <v>15</v>
      </c>
      <c r="F1395" s="51">
        <v>1</v>
      </c>
      <c r="G1395" s="466">
        <v>14.1</v>
      </c>
      <c r="H1395" s="52">
        <f>F1395*G1395</f>
        <v>14.1</v>
      </c>
      <c r="I1395" s="53"/>
      <c r="J1395" s="54">
        <f>F1395*G1395</f>
        <v>14.1</v>
      </c>
    </row>
    <row r="1396" spans="1:10" ht="12.75">
      <c r="A1396" s="446" t="s">
        <v>698</v>
      </c>
      <c r="B1396" s="465" t="s">
        <v>406</v>
      </c>
      <c r="C1396" s="441">
        <v>88248</v>
      </c>
      <c r="D1396" s="447" t="s">
        <v>739</v>
      </c>
      <c r="E1396" s="432" t="s">
        <v>740</v>
      </c>
      <c r="F1396" s="111">
        <v>0.13500000000000001</v>
      </c>
      <c r="G1396" s="605">
        <v>26.14</v>
      </c>
      <c r="H1396" s="52"/>
      <c r="I1396" s="56">
        <f>F1396*G1396</f>
        <v>3.5289000000000001</v>
      </c>
      <c r="J1396" s="54">
        <f t="shared" ref="J1396:J1397" si="92">F1396*G1396</f>
        <v>3.5289000000000001</v>
      </c>
    </row>
    <row r="1397" spans="1:10" ht="12.75">
      <c r="A1397" s="446" t="s">
        <v>698</v>
      </c>
      <c r="B1397" s="465" t="s">
        <v>406</v>
      </c>
      <c r="C1397" s="441">
        <v>88267</v>
      </c>
      <c r="D1397" s="447" t="s">
        <v>741</v>
      </c>
      <c r="E1397" s="432" t="s">
        <v>740</v>
      </c>
      <c r="F1397" s="111">
        <v>0.13500000000000001</v>
      </c>
      <c r="G1397" s="605">
        <v>32.130000000000003</v>
      </c>
      <c r="H1397" s="55"/>
      <c r="I1397" s="56">
        <f>F1397*G1397</f>
        <v>4.3375500000000002</v>
      </c>
      <c r="J1397" s="54">
        <f t="shared" si="92"/>
        <v>4.3375500000000002</v>
      </c>
    </row>
    <row r="1398" spans="1:10" ht="12.75">
      <c r="A1398" s="449"/>
      <c r="B1398" s="441"/>
      <c r="C1398" s="476"/>
      <c r="D1398" s="451" t="s">
        <v>696</v>
      </c>
      <c r="E1398" s="470"/>
      <c r="F1398" s="61"/>
      <c r="G1398" s="58"/>
      <c r="H1398" s="59">
        <f>SUM(H1395:H1397)</f>
        <v>14.1</v>
      </c>
      <c r="I1398" s="59">
        <f>SUM(I1395:I1397)</f>
        <v>7.8664500000000004</v>
      </c>
      <c r="J1398" s="60">
        <f>SUM(H1398:I1398)</f>
        <v>21.966450000000002</v>
      </c>
    </row>
    <row r="1399" spans="1:10" ht="12.75">
      <c r="A1399" s="469" t="s">
        <v>1052</v>
      </c>
      <c r="B1399" s="1027" t="s">
        <v>1221</v>
      </c>
      <c r="C1399" s="1028"/>
      <c r="D1399" s="1028"/>
      <c r="E1399" s="457"/>
      <c r="F1399" s="457"/>
      <c r="G1399" s="457"/>
      <c r="H1399" s="457"/>
      <c r="I1399" s="457"/>
      <c r="J1399" s="458"/>
    </row>
    <row r="1401" spans="1:10" ht="12.75">
      <c r="A1401" s="463" t="s">
        <v>697</v>
      </c>
      <c r="B1401" s="463"/>
      <c r="C1401" s="438" t="s">
        <v>2387</v>
      </c>
      <c r="D1401" s="464" t="s">
        <v>999</v>
      </c>
      <c r="E1401" s="376" t="s">
        <v>411</v>
      </c>
      <c r="F1401" s="440" t="s">
        <v>692</v>
      </c>
      <c r="G1401" s="376" t="s">
        <v>693</v>
      </c>
      <c r="H1401" s="440" t="s">
        <v>694</v>
      </c>
      <c r="I1401" s="440" t="s">
        <v>695</v>
      </c>
      <c r="J1401" s="440" t="s">
        <v>696</v>
      </c>
    </row>
    <row r="1402" spans="1:10" ht="12.75">
      <c r="A1402" s="446" t="s">
        <v>699</v>
      </c>
      <c r="B1402" s="465" t="s">
        <v>409</v>
      </c>
      <c r="C1402" s="478" t="s">
        <v>2420</v>
      </c>
      <c r="D1402" s="469" t="s">
        <v>999</v>
      </c>
      <c r="E1402" s="55" t="s">
        <v>15</v>
      </c>
      <c r="F1402" s="51">
        <v>1</v>
      </c>
      <c r="G1402" s="466">
        <v>21.35</v>
      </c>
      <c r="H1402" s="52">
        <f>F1402*G1402</f>
        <v>21.35</v>
      </c>
      <c r="I1402" s="53"/>
      <c r="J1402" s="54">
        <f>F1402*G1402</f>
        <v>21.35</v>
      </c>
    </row>
    <row r="1403" spans="1:10" ht="12.75">
      <c r="A1403" s="446" t="s">
        <v>698</v>
      </c>
      <c r="B1403" s="465" t="s">
        <v>406</v>
      </c>
      <c r="C1403" s="441">
        <v>88248</v>
      </c>
      <c r="D1403" s="447" t="s">
        <v>739</v>
      </c>
      <c r="E1403" s="432" t="s">
        <v>740</v>
      </c>
      <c r="F1403" s="111">
        <v>0.13500000000000001</v>
      </c>
      <c r="G1403" s="605">
        <v>26.14</v>
      </c>
      <c r="H1403" s="52"/>
      <c r="I1403" s="56">
        <f>F1403*G1403</f>
        <v>3.5289000000000001</v>
      </c>
      <c r="J1403" s="54">
        <f t="shared" ref="J1403:J1404" si="93">F1403*G1403</f>
        <v>3.5289000000000001</v>
      </c>
    </row>
    <row r="1404" spans="1:10" ht="12.75">
      <c r="A1404" s="446" t="s">
        <v>698</v>
      </c>
      <c r="B1404" s="465" t="s">
        <v>406</v>
      </c>
      <c r="C1404" s="441">
        <v>88267</v>
      </c>
      <c r="D1404" s="447" t="s">
        <v>741</v>
      </c>
      <c r="E1404" s="432" t="s">
        <v>740</v>
      </c>
      <c r="F1404" s="111">
        <v>0.13500000000000001</v>
      </c>
      <c r="G1404" s="605">
        <v>32.130000000000003</v>
      </c>
      <c r="H1404" s="55"/>
      <c r="I1404" s="56">
        <f>F1404*G1404</f>
        <v>4.3375500000000002</v>
      </c>
      <c r="J1404" s="54">
        <f t="shared" si="93"/>
        <v>4.3375500000000002</v>
      </c>
    </row>
    <row r="1405" spans="1:10" ht="12.75">
      <c r="A1405" s="449"/>
      <c r="B1405" s="441"/>
      <c r="C1405" s="476"/>
      <c r="D1405" s="451" t="s">
        <v>696</v>
      </c>
      <c r="E1405" s="470"/>
      <c r="F1405" s="61"/>
      <c r="G1405" s="58"/>
      <c r="H1405" s="59">
        <f>SUM(H1402:H1404)</f>
        <v>21.35</v>
      </c>
      <c r="I1405" s="59">
        <f>SUM(I1402:I1404)</f>
        <v>7.8664500000000004</v>
      </c>
      <c r="J1405" s="60">
        <f>SUM(H1405:I1405)</f>
        <v>29.216450000000002</v>
      </c>
    </row>
    <row r="1406" spans="1:10" ht="12.75">
      <c r="A1406" s="469" t="s">
        <v>1052</v>
      </c>
      <c r="B1406" s="1027" t="s">
        <v>1221</v>
      </c>
      <c r="C1406" s="1028"/>
      <c r="D1406" s="1028"/>
      <c r="E1406" s="457"/>
      <c r="F1406" s="457"/>
      <c r="G1406" s="457"/>
      <c r="H1406" s="457"/>
      <c r="I1406" s="457"/>
      <c r="J1406" s="458"/>
    </row>
    <row r="1408" spans="1:10" ht="12.75">
      <c r="A1408" s="463" t="s">
        <v>697</v>
      </c>
      <c r="B1408" s="463"/>
      <c r="C1408" s="438" t="s">
        <v>2388</v>
      </c>
      <c r="D1408" s="464" t="s">
        <v>1000</v>
      </c>
      <c r="E1408" s="376" t="s">
        <v>411</v>
      </c>
      <c r="F1408" s="440" t="s">
        <v>692</v>
      </c>
      <c r="G1408" s="376" t="s">
        <v>693</v>
      </c>
      <c r="H1408" s="440" t="s">
        <v>694</v>
      </c>
      <c r="I1408" s="440" t="s">
        <v>695</v>
      </c>
      <c r="J1408" s="440" t="s">
        <v>696</v>
      </c>
    </row>
    <row r="1409" spans="1:10" ht="12.75">
      <c r="A1409" s="446" t="s">
        <v>699</v>
      </c>
      <c r="B1409" s="465" t="s">
        <v>409</v>
      </c>
      <c r="C1409" s="478" t="s">
        <v>2420</v>
      </c>
      <c r="D1409" s="469" t="s">
        <v>1000</v>
      </c>
      <c r="E1409" s="55" t="s">
        <v>15</v>
      </c>
      <c r="F1409" s="51">
        <v>1</v>
      </c>
      <c r="G1409" s="466">
        <v>28.4</v>
      </c>
      <c r="H1409" s="52">
        <f>F1409*G1409</f>
        <v>28.4</v>
      </c>
      <c r="I1409" s="53"/>
      <c r="J1409" s="54">
        <f>F1409*G1409</f>
        <v>28.4</v>
      </c>
    </row>
    <row r="1410" spans="1:10" ht="12.75">
      <c r="A1410" s="446" t="s">
        <v>698</v>
      </c>
      <c r="B1410" s="465" t="s">
        <v>406</v>
      </c>
      <c r="C1410" s="441">
        <v>88248</v>
      </c>
      <c r="D1410" s="447" t="s">
        <v>739</v>
      </c>
      <c r="E1410" s="432" t="s">
        <v>740</v>
      </c>
      <c r="F1410" s="111">
        <v>0.13500000000000001</v>
      </c>
      <c r="G1410" s="605">
        <v>26.14</v>
      </c>
      <c r="H1410" s="52"/>
      <c r="I1410" s="56">
        <f>F1410*G1410</f>
        <v>3.5289000000000001</v>
      </c>
      <c r="J1410" s="54">
        <f t="shared" ref="J1410:J1411" si="94">F1410*G1410</f>
        <v>3.5289000000000001</v>
      </c>
    </row>
    <row r="1411" spans="1:10" ht="12.75">
      <c r="A1411" s="446" t="s">
        <v>698</v>
      </c>
      <c r="B1411" s="465" t="s">
        <v>406</v>
      </c>
      <c r="C1411" s="441">
        <v>88267</v>
      </c>
      <c r="D1411" s="447" t="s">
        <v>741</v>
      </c>
      <c r="E1411" s="432" t="s">
        <v>740</v>
      </c>
      <c r="F1411" s="111">
        <v>0.13500000000000001</v>
      </c>
      <c r="G1411" s="605">
        <v>32.130000000000003</v>
      </c>
      <c r="H1411" s="55"/>
      <c r="I1411" s="56">
        <f>F1411*G1411</f>
        <v>4.3375500000000002</v>
      </c>
      <c r="J1411" s="54">
        <f t="shared" si="94"/>
        <v>4.3375500000000002</v>
      </c>
    </row>
    <row r="1412" spans="1:10" ht="12.75">
      <c r="A1412" s="449"/>
      <c r="B1412" s="441"/>
      <c r="C1412" s="476"/>
      <c r="D1412" s="451" t="s">
        <v>696</v>
      </c>
      <c r="E1412" s="470"/>
      <c r="F1412" s="61"/>
      <c r="G1412" s="58"/>
      <c r="H1412" s="59">
        <f>SUM(H1409:H1411)</f>
        <v>28.4</v>
      </c>
      <c r="I1412" s="59">
        <f>SUM(I1409:I1411)</f>
        <v>7.8664500000000004</v>
      </c>
      <c r="J1412" s="60">
        <f>SUM(H1412:I1412)</f>
        <v>36.266449999999999</v>
      </c>
    </row>
    <row r="1413" spans="1:10" ht="12.75">
      <c r="A1413" s="469" t="s">
        <v>1052</v>
      </c>
      <c r="B1413" s="1027" t="s">
        <v>1221</v>
      </c>
      <c r="C1413" s="1028"/>
      <c r="D1413" s="1028"/>
      <c r="E1413" s="457"/>
      <c r="F1413" s="457"/>
      <c r="G1413" s="457"/>
      <c r="H1413" s="457"/>
      <c r="I1413" s="457"/>
      <c r="J1413" s="458"/>
    </row>
    <row r="1415" spans="1:10" ht="12.75">
      <c r="A1415" s="463" t="s">
        <v>697</v>
      </c>
      <c r="B1415" s="463"/>
      <c r="C1415" s="438" t="s">
        <v>2389</v>
      </c>
      <c r="D1415" s="464" t="s">
        <v>1001</v>
      </c>
      <c r="E1415" s="376" t="s">
        <v>411</v>
      </c>
      <c r="F1415" s="440" t="s">
        <v>692</v>
      </c>
      <c r="G1415" s="376" t="s">
        <v>693</v>
      </c>
      <c r="H1415" s="440" t="s">
        <v>694</v>
      </c>
      <c r="I1415" s="440" t="s">
        <v>695</v>
      </c>
      <c r="J1415" s="440" t="s">
        <v>696</v>
      </c>
    </row>
    <row r="1416" spans="1:10" ht="12.75">
      <c r="A1416" s="446" t="s">
        <v>699</v>
      </c>
      <c r="B1416" s="465" t="s">
        <v>409</v>
      </c>
      <c r="C1416" s="478" t="s">
        <v>2420</v>
      </c>
      <c r="D1416" s="469" t="s">
        <v>1001</v>
      </c>
      <c r="E1416" s="55" t="s">
        <v>15</v>
      </c>
      <c r="F1416" s="51">
        <v>1</v>
      </c>
      <c r="G1416" s="466">
        <v>35.200000000000003</v>
      </c>
      <c r="H1416" s="52">
        <f>F1416*G1416</f>
        <v>35.200000000000003</v>
      </c>
      <c r="I1416" s="53"/>
      <c r="J1416" s="54">
        <f>SUM(H1416:I1416)</f>
        <v>35.200000000000003</v>
      </c>
    </row>
    <row r="1417" spans="1:10" ht="12.75">
      <c r="A1417" s="446" t="s">
        <v>698</v>
      </c>
      <c r="B1417" s="465" t="s">
        <v>406</v>
      </c>
      <c r="C1417" s="441">
        <v>88248</v>
      </c>
      <c r="D1417" s="447" t="s">
        <v>739</v>
      </c>
      <c r="E1417" s="432" t="s">
        <v>740</v>
      </c>
      <c r="F1417" s="111">
        <v>0.13500000000000001</v>
      </c>
      <c r="G1417" s="605">
        <v>26.14</v>
      </c>
      <c r="H1417" s="52"/>
      <c r="I1417" s="56">
        <f>F1417*G1417</f>
        <v>3.5289000000000001</v>
      </c>
      <c r="J1417" s="54">
        <f t="shared" ref="J1417:J1418" si="95">SUM(H1417:I1417)</f>
        <v>3.5289000000000001</v>
      </c>
    </row>
    <row r="1418" spans="1:10" ht="12.75">
      <c r="A1418" s="446" t="s">
        <v>698</v>
      </c>
      <c r="B1418" s="465" t="s">
        <v>406</v>
      </c>
      <c r="C1418" s="441">
        <v>88267</v>
      </c>
      <c r="D1418" s="447" t="s">
        <v>741</v>
      </c>
      <c r="E1418" s="432" t="s">
        <v>740</v>
      </c>
      <c r="F1418" s="111">
        <v>0.13500000000000001</v>
      </c>
      <c r="G1418" s="605">
        <v>32.130000000000003</v>
      </c>
      <c r="H1418" s="55"/>
      <c r="I1418" s="56">
        <f>F1418*G1418</f>
        <v>4.3375500000000002</v>
      </c>
      <c r="J1418" s="54">
        <f t="shared" si="95"/>
        <v>4.3375500000000002</v>
      </c>
    </row>
    <row r="1419" spans="1:10" ht="12.75">
      <c r="A1419" s="449"/>
      <c r="B1419" s="441"/>
      <c r="C1419" s="476"/>
      <c r="D1419" s="451" t="s">
        <v>696</v>
      </c>
      <c r="E1419" s="470"/>
      <c r="F1419" s="61"/>
      <c r="G1419" s="58"/>
      <c r="H1419" s="59">
        <f>SUM(H1416:H1418)</f>
        <v>35.200000000000003</v>
      </c>
      <c r="I1419" s="59">
        <f>SUM(I1416:I1418)</f>
        <v>7.8664500000000004</v>
      </c>
      <c r="J1419" s="60">
        <f>SUM(H1419:I1419)</f>
        <v>43.066450000000003</v>
      </c>
    </row>
    <row r="1420" spans="1:10" ht="12.75">
      <c r="A1420" s="469" t="s">
        <v>1052</v>
      </c>
      <c r="B1420" s="1027" t="s">
        <v>1221</v>
      </c>
      <c r="C1420" s="1028"/>
      <c r="D1420" s="1028"/>
      <c r="E1420" s="457"/>
      <c r="F1420" s="457"/>
      <c r="G1420" s="457"/>
      <c r="H1420" s="457"/>
      <c r="I1420" s="457"/>
      <c r="J1420" s="458"/>
    </row>
    <row r="1422" spans="1:10" ht="25.5">
      <c r="A1422" s="463" t="s">
        <v>697</v>
      </c>
      <c r="B1422" s="463"/>
      <c r="C1422" s="438" t="s">
        <v>2390</v>
      </c>
      <c r="D1422" s="464" t="s">
        <v>1002</v>
      </c>
      <c r="E1422" s="376" t="s">
        <v>411</v>
      </c>
      <c r="F1422" s="440" t="s">
        <v>692</v>
      </c>
      <c r="G1422" s="376" t="s">
        <v>693</v>
      </c>
      <c r="H1422" s="440" t="s">
        <v>694</v>
      </c>
      <c r="I1422" s="440" t="s">
        <v>695</v>
      </c>
      <c r="J1422" s="440" t="s">
        <v>696</v>
      </c>
    </row>
    <row r="1423" spans="1:10" ht="12.75">
      <c r="A1423" s="446" t="s">
        <v>699</v>
      </c>
      <c r="B1423" s="465" t="s">
        <v>409</v>
      </c>
      <c r="C1423" s="478" t="s">
        <v>2420</v>
      </c>
      <c r="D1423" s="469" t="s">
        <v>1002</v>
      </c>
      <c r="E1423" s="55" t="s">
        <v>15</v>
      </c>
      <c r="F1423" s="51">
        <v>1</v>
      </c>
      <c r="G1423" s="466">
        <v>1975</v>
      </c>
      <c r="H1423" s="52">
        <f>F1423*G1423</f>
        <v>1975</v>
      </c>
      <c r="I1423" s="53"/>
      <c r="J1423" s="54">
        <f>SUM(H1423:I1423)</f>
        <v>1975</v>
      </c>
    </row>
    <row r="1424" spans="1:10" ht="12.75">
      <c r="A1424" s="446" t="s">
        <v>698</v>
      </c>
      <c r="B1424" s="465" t="s">
        <v>406</v>
      </c>
      <c r="C1424" s="441">
        <v>88248</v>
      </c>
      <c r="D1424" s="447" t="s">
        <v>739</v>
      </c>
      <c r="E1424" s="432" t="s">
        <v>740</v>
      </c>
      <c r="F1424" s="111">
        <v>0.13500000000000001</v>
      </c>
      <c r="G1424" s="605">
        <v>26.14</v>
      </c>
      <c r="H1424" s="52"/>
      <c r="I1424" s="56">
        <f>F1424*G1424</f>
        <v>3.5289000000000001</v>
      </c>
      <c r="J1424" s="54">
        <f t="shared" ref="J1424:J1425" si="96">SUM(H1424:I1424)</f>
        <v>3.5289000000000001</v>
      </c>
    </row>
    <row r="1425" spans="1:10" ht="12.75">
      <c r="A1425" s="446" t="s">
        <v>698</v>
      </c>
      <c r="B1425" s="465" t="s">
        <v>406</v>
      </c>
      <c r="C1425" s="441">
        <v>88267</v>
      </c>
      <c r="D1425" s="447" t="s">
        <v>741</v>
      </c>
      <c r="E1425" s="432" t="s">
        <v>740</v>
      </c>
      <c r="F1425" s="111">
        <v>0.13500000000000001</v>
      </c>
      <c r="G1425" s="605">
        <v>32.130000000000003</v>
      </c>
      <c r="H1425" s="55"/>
      <c r="I1425" s="56">
        <f>F1425*G1425</f>
        <v>4.3375500000000002</v>
      </c>
      <c r="J1425" s="54">
        <f t="shared" si="96"/>
        <v>4.3375500000000002</v>
      </c>
    </row>
    <row r="1426" spans="1:10" ht="12.75">
      <c r="A1426" s="449"/>
      <c r="B1426" s="441"/>
      <c r="C1426" s="476"/>
      <c r="D1426" s="451" t="s">
        <v>696</v>
      </c>
      <c r="E1426" s="470"/>
      <c r="F1426" s="61"/>
      <c r="G1426" s="58"/>
      <c r="H1426" s="59">
        <f>SUM(H1423:H1425)</f>
        <v>1975</v>
      </c>
      <c r="I1426" s="59">
        <f>SUM(I1423:I1425)</f>
        <v>7.8664500000000004</v>
      </c>
      <c r="J1426" s="60">
        <f>SUM(H1426:I1426)</f>
        <v>1982.86645</v>
      </c>
    </row>
    <row r="1427" spans="1:10" ht="12.75">
      <c r="A1427" s="469" t="s">
        <v>1052</v>
      </c>
      <c r="B1427" s="1027" t="s">
        <v>1221</v>
      </c>
      <c r="C1427" s="1028"/>
      <c r="D1427" s="1028"/>
      <c r="E1427" s="457"/>
      <c r="F1427" s="457"/>
      <c r="G1427" s="457"/>
      <c r="H1427" s="457"/>
      <c r="I1427" s="457"/>
      <c r="J1427" s="458"/>
    </row>
    <row r="1429" spans="1:10" ht="12.75">
      <c r="A1429" s="463" t="s">
        <v>697</v>
      </c>
      <c r="B1429" s="463"/>
      <c r="C1429" s="438" t="s">
        <v>2391</v>
      </c>
      <c r="D1429" s="464" t="s">
        <v>1003</v>
      </c>
      <c r="E1429" s="376" t="s">
        <v>411</v>
      </c>
      <c r="F1429" s="440" t="s">
        <v>692</v>
      </c>
      <c r="G1429" s="376" t="s">
        <v>693</v>
      </c>
      <c r="H1429" s="440" t="s">
        <v>694</v>
      </c>
      <c r="I1429" s="440" t="s">
        <v>695</v>
      </c>
      <c r="J1429" s="440" t="s">
        <v>696</v>
      </c>
    </row>
    <row r="1430" spans="1:10" ht="12.75">
      <c r="A1430" s="446" t="s">
        <v>699</v>
      </c>
      <c r="B1430" s="465" t="s">
        <v>409</v>
      </c>
      <c r="C1430" s="478" t="s">
        <v>2420</v>
      </c>
      <c r="D1430" s="469" t="s">
        <v>1003</v>
      </c>
      <c r="E1430" s="55" t="s">
        <v>15</v>
      </c>
      <c r="F1430" s="51">
        <v>1</v>
      </c>
      <c r="G1430" s="466">
        <v>990</v>
      </c>
      <c r="H1430" s="52">
        <f>F1430*G1430</f>
        <v>990</v>
      </c>
      <c r="I1430" s="53"/>
      <c r="J1430" s="54">
        <f>SUM(H1430:I1430)</f>
        <v>990</v>
      </c>
    </row>
    <row r="1431" spans="1:10" ht="12.75">
      <c r="A1431" s="446" t="s">
        <v>698</v>
      </c>
      <c r="B1431" s="465" t="s">
        <v>406</v>
      </c>
      <c r="C1431" s="441">
        <v>88248</v>
      </c>
      <c r="D1431" s="447" t="s">
        <v>739</v>
      </c>
      <c r="E1431" s="432" t="s">
        <v>740</v>
      </c>
      <c r="F1431" s="111">
        <v>0.13500000000000001</v>
      </c>
      <c r="G1431" s="605">
        <v>26.14</v>
      </c>
      <c r="H1431" s="52"/>
      <c r="I1431" s="56">
        <f>F1431*G1431</f>
        <v>3.5289000000000001</v>
      </c>
      <c r="J1431" s="54">
        <f t="shared" ref="J1431:J1432" si="97">SUM(H1431:I1431)</f>
        <v>3.5289000000000001</v>
      </c>
    </row>
    <row r="1432" spans="1:10" ht="12.75">
      <c r="A1432" s="446" t="s">
        <v>698</v>
      </c>
      <c r="B1432" s="465" t="s">
        <v>406</v>
      </c>
      <c r="C1432" s="441">
        <v>88267</v>
      </c>
      <c r="D1432" s="447" t="s">
        <v>741</v>
      </c>
      <c r="E1432" s="432" t="s">
        <v>740</v>
      </c>
      <c r="F1432" s="111">
        <v>0.13500000000000001</v>
      </c>
      <c r="G1432" s="605">
        <v>32.130000000000003</v>
      </c>
      <c r="H1432" s="55"/>
      <c r="I1432" s="56">
        <f>F1432*G1432</f>
        <v>4.3375500000000002</v>
      </c>
      <c r="J1432" s="54">
        <f t="shared" si="97"/>
        <v>4.3375500000000002</v>
      </c>
    </row>
    <row r="1433" spans="1:10" ht="12.75">
      <c r="A1433" s="449"/>
      <c r="B1433" s="441"/>
      <c r="C1433" s="476"/>
      <c r="D1433" s="451" t="s">
        <v>696</v>
      </c>
      <c r="E1433" s="470"/>
      <c r="F1433" s="61"/>
      <c r="G1433" s="58"/>
      <c r="H1433" s="59">
        <f>SUM(H1430:H1432)</f>
        <v>990</v>
      </c>
      <c r="I1433" s="59">
        <f>SUM(I1430:I1432)</f>
        <v>7.8664500000000004</v>
      </c>
      <c r="J1433" s="60">
        <f>SUM(H1433:I1433)</f>
        <v>997.86644999999999</v>
      </c>
    </row>
    <row r="1434" spans="1:10" ht="12.75">
      <c r="A1434" s="469" t="s">
        <v>1052</v>
      </c>
      <c r="B1434" s="1027" t="s">
        <v>1221</v>
      </c>
      <c r="C1434" s="1028"/>
      <c r="D1434" s="1028"/>
      <c r="E1434" s="457"/>
      <c r="F1434" s="457"/>
      <c r="G1434" s="457"/>
      <c r="H1434" s="457"/>
      <c r="I1434" s="457"/>
      <c r="J1434" s="458"/>
    </row>
    <row r="1436" spans="1:10" ht="12.75">
      <c r="A1436" s="463" t="s">
        <v>697</v>
      </c>
      <c r="B1436" s="463"/>
      <c r="C1436" s="438" t="s">
        <v>2392</v>
      </c>
      <c r="D1436" s="464" t="s">
        <v>1004</v>
      </c>
      <c r="E1436" s="376" t="s">
        <v>411</v>
      </c>
      <c r="F1436" s="440" t="s">
        <v>692</v>
      </c>
      <c r="G1436" s="376" t="s">
        <v>693</v>
      </c>
      <c r="H1436" s="440" t="s">
        <v>694</v>
      </c>
      <c r="I1436" s="440" t="s">
        <v>695</v>
      </c>
      <c r="J1436" s="440" t="s">
        <v>696</v>
      </c>
    </row>
    <row r="1437" spans="1:10" ht="12.75">
      <c r="A1437" s="446" t="s">
        <v>699</v>
      </c>
      <c r="B1437" s="465" t="s">
        <v>409</v>
      </c>
      <c r="C1437" s="478" t="s">
        <v>2420</v>
      </c>
      <c r="D1437" s="469" t="s">
        <v>1004</v>
      </c>
      <c r="E1437" s="55" t="s">
        <v>15</v>
      </c>
      <c r="F1437" s="51">
        <v>1</v>
      </c>
      <c r="G1437" s="466">
        <v>12.4</v>
      </c>
      <c r="H1437" s="52">
        <f>F1437*G1437</f>
        <v>12.4</v>
      </c>
      <c r="I1437" s="53"/>
      <c r="J1437" s="54">
        <f>SUM(H1437:I1437)</f>
        <v>12.4</v>
      </c>
    </row>
    <row r="1438" spans="1:10" ht="12.75">
      <c r="A1438" s="446" t="s">
        <v>698</v>
      </c>
      <c r="B1438" s="465" t="s">
        <v>406</v>
      </c>
      <c r="C1438" s="441">
        <v>88248</v>
      </c>
      <c r="D1438" s="447" t="s">
        <v>739</v>
      </c>
      <c r="E1438" s="432" t="s">
        <v>740</v>
      </c>
      <c r="F1438" s="111">
        <v>0.13500000000000001</v>
      </c>
      <c r="G1438" s="605">
        <v>26.14</v>
      </c>
      <c r="H1438" s="52"/>
      <c r="I1438" s="56">
        <f>F1438*G1438</f>
        <v>3.5289000000000001</v>
      </c>
      <c r="J1438" s="54">
        <f t="shared" ref="J1438:J1439" si="98">SUM(H1438:I1438)</f>
        <v>3.5289000000000001</v>
      </c>
    </row>
    <row r="1439" spans="1:10" ht="12.75">
      <c r="A1439" s="446" t="s">
        <v>698</v>
      </c>
      <c r="B1439" s="465" t="s">
        <v>406</v>
      </c>
      <c r="C1439" s="441">
        <v>88267</v>
      </c>
      <c r="D1439" s="447" t="s">
        <v>741</v>
      </c>
      <c r="E1439" s="432" t="s">
        <v>740</v>
      </c>
      <c r="F1439" s="111">
        <v>0.13500000000000001</v>
      </c>
      <c r="G1439" s="605">
        <v>32.130000000000003</v>
      </c>
      <c r="H1439" s="55"/>
      <c r="I1439" s="56">
        <f>F1439*G1439</f>
        <v>4.3375500000000002</v>
      </c>
      <c r="J1439" s="54">
        <f t="shared" si="98"/>
        <v>4.3375500000000002</v>
      </c>
    </row>
    <row r="1440" spans="1:10" ht="12.75">
      <c r="A1440" s="449"/>
      <c r="B1440" s="441"/>
      <c r="C1440" s="476"/>
      <c r="D1440" s="451" t="s">
        <v>696</v>
      </c>
      <c r="E1440" s="470"/>
      <c r="F1440" s="61"/>
      <c r="G1440" s="58"/>
      <c r="H1440" s="59">
        <f>SUM(H1437:H1439)</f>
        <v>12.4</v>
      </c>
      <c r="I1440" s="59">
        <f>SUM(I1437:I1439)</f>
        <v>7.8664500000000004</v>
      </c>
      <c r="J1440" s="60">
        <f>SUM(H1440:I1440)</f>
        <v>20.266449999999999</v>
      </c>
    </row>
    <row r="1441" spans="1:10" ht="12.75">
      <c r="A1441" s="469" t="s">
        <v>1052</v>
      </c>
      <c r="B1441" s="1027" t="s">
        <v>1221</v>
      </c>
      <c r="C1441" s="1028"/>
      <c r="D1441" s="1028"/>
      <c r="E1441" s="457"/>
      <c r="F1441" s="457"/>
      <c r="G1441" s="457"/>
      <c r="H1441" s="457"/>
      <c r="I1441" s="457"/>
      <c r="J1441" s="458"/>
    </row>
    <row r="1443" spans="1:10" ht="12.75">
      <c r="A1443" s="463" t="s">
        <v>697</v>
      </c>
      <c r="B1443" s="463"/>
      <c r="C1443" s="438" t="s">
        <v>2393</v>
      </c>
      <c r="D1443" s="464" t="s">
        <v>1005</v>
      </c>
      <c r="E1443" s="376" t="s">
        <v>411</v>
      </c>
      <c r="F1443" s="440" t="s">
        <v>692</v>
      </c>
      <c r="G1443" s="376" t="s">
        <v>693</v>
      </c>
      <c r="H1443" s="440" t="s">
        <v>694</v>
      </c>
      <c r="I1443" s="440" t="s">
        <v>695</v>
      </c>
      <c r="J1443" s="440" t="s">
        <v>696</v>
      </c>
    </row>
    <row r="1444" spans="1:10" ht="12.75">
      <c r="A1444" s="446" t="s">
        <v>699</v>
      </c>
      <c r="B1444" s="465" t="s">
        <v>409</v>
      </c>
      <c r="C1444" s="478" t="s">
        <v>2420</v>
      </c>
      <c r="D1444" s="469" t="s">
        <v>1005</v>
      </c>
      <c r="E1444" s="55" t="s">
        <v>15</v>
      </c>
      <c r="F1444" s="51">
        <v>1</v>
      </c>
      <c r="G1444" s="466">
        <v>91</v>
      </c>
      <c r="H1444" s="52">
        <f>F1444*G1444</f>
        <v>91</v>
      </c>
      <c r="I1444" s="53"/>
      <c r="J1444" s="54">
        <f>SUM(H1444:I1444)</f>
        <v>91</v>
      </c>
    </row>
    <row r="1445" spans="1:10" ht="12.75">
      <c r="A1445" s="446" t="s">
        <v>698</v>
      </c>
      <c r="B1445" s="465" t="s">
        <v>406</v>
      </c>
      <c r="C1445" s="441">
        <v>88248</v>
      </c>
      <c r="D1445" s="447" t="s">
        <v>739</v>
      </c>
      <c r="E1445" s="432" t="s">
        <v>740</v>
      </c>
      <c r="F1445" s="111">
        <v>0.13500000000000001</v>
      </c>
      <c r="G1445" s="605">
        <v>26.14</v>
      </c>
      <c r="H1445" s="52"/>
      <c r="I1445" s="56">
        <f>F1445*G1445</f>
        <v>3.5289000000000001</v>
      </c>
      <c r="J1445" s="54">
        <f t="shared" ref="J1445:J1446" si="99">SUM(H1445:I1445)</f>
        <v>3.5289000000000001</v>
      </c>
    </row>
    <row r="1446" spans="1:10" ht="12.75">
      <c r="A1446" s="446" t="s">
        <v>698</v>
      </c>
      <c r="B1446" s="465" t="s">
        <v>406</v>
      </c>
      <c r="C1446" s="441">
        <v>88267</v>
      </c>
      <c r="D1446" s="447" t="s">
        <v>741</v>
      </c>
      <c r="E1446" s="432" t="s">
        <v>740</v>
      </c>
      <c r="F1446" s="111">
        <v>0.13500000000000001</v>
      </c>
      <c r="G1446" s="605">
        <v>32.130000000000003</v>
      </c>
      <c r="H1446" s="55"/>
      <c r="I1446" s="56">
        <f>F1446*G1446</f>
        <v>4.3375500000000002</v>
      </c>
      <c r="J1446" s="54">
        <f t="shared" si="99"/>
        <v>4.3375500000000002</v>
      </c>
    </row>
    <row r="1447" spans="1:10" ht="12.75">
      <c r="A1447" s="449"/>
      <c r="B1447" s="441"/>
      <c r="C1447" s="476"/>
      <c r="D1447" s="451" t="s">
        <v>696</v>
      </c>
      <c r="E1447" s="470"/>
      <c r="F1447" s="61"/>
      <c r="G1447" s="58"/>
      <c r="H1447" s="59">
        <f>SUM(H1444:H1446)</f>
        <v>91</v>
      </c>
      <c r="I1447" s="59">
        <f>SUM(I1444:I1446)</f>
        <v>7.8664500000000004</v>
      </c>
      <c r="J1447" s="60">
        <f>SUM(H1447:I1447)</f>
        <v>98.86645</v>
      </c>
    </row>
    <row r="1448" spans="1:10" ht="12.75">
      <c r="A1448" s="469" t="s">
        <v>1052</v>
      </c>
      <c r="B1448" s="1027" t="s">
        <v>1221</v>
      </c>
      <c r="C1448" s="1028"/>
      <c r="D1448" s="1028"/>
      <c r="E1448" s="457"/>
      <c r="F1448" s="457"/>
      <c r="G1448" s="457"/>
      <c r="H1448" s="457"/>
      <c r="I1448" s="457"/>
      <c r="J1448" s="458"/>
    </row>
    <row r="1450" spans="1:10" ht="12.75">
      <c r="A1450" s="463" t="s">
        <v>697</v>
      </c>
      <c r="B1450" s="463"/>
      <c r="C1450" s="438" t="s">
        <v>2394</v>
      </c>
      <c r="D1450" s="464" t="s">
        <v>1006</v>
      </c>
      <c r="E1450" s="376" t="s">
        <v>411</v>
      </c>
      <c r="F1450" s="440" t="s">
        <v>692</v>
      </c>
      <c r="G1450" s="376" t="s">
        <v>693</v>
      </c>
      <c r="H1450" s="440" t="s">
        <v>694</v>
      </c>
      <c r="I1450" s="440" t="s">
        <v>695</v>
      </c>
      <c r="J1450" s="440" t="s">
        <v>696</v>
      </c>
    </row>
    <row r="1451" spans="1:10" ht="12.75">
      <c r="A1451" s="446" t="s">
        <v>699</v>
      </c>
      <c r="B1451" s="465" t="s">
        <v>409</v>
      </c>
      <c r="C1451" s="478" t="s">
        <v>2420</v>
      </c>
      <c r="D1451" s="469" t="s">
        <v>1006</v>
      </c>
      <c r="E1451" s="55" t="s">
        <v>15</v>
      </c>
      <c r="F1451" s="51">
        <v>1</v>
      </c>
      <c r="G1451" s="466">
        <v>115</v>
      </c>
      <c r="H1451" s="52">
        <f>F1451*G1451</f>
        <v>115</v>
      </c>
      <c r="I1451" s="53"/>
      <c r="J1451" s="54">
        <f>SUM(H1451:I1451)</f>
        <v>115</v>
      </c>
    </row>
    <row r="1452" spans="1:10" ht="12.75">
      <c r="A1452" s="446" t="s">
        <v>698</v>
      </c>
      <c r="B1452" s="465" t="s">
        <v>406</v>
      </c>
      <c r="C1452" s="441">
        <v>88248</v>
      </c>
      <c r="D1452" s="447" t="s">
        <v>739</v>
      </c>
      <c r="E1452" s="432" t="s">
        <v>740</v>
      </c>
      <c r="F1452" s="111">
        <v>0.13500000000000001</v>
      </c>
      <c r="G1452" s="605">
        <v>26.14</v>
      </c>
      <c r="H1452" s="52"/>
      <c r="I1452" s="56">
        <f>F1452*G1452</f>
        <v>3.5289000000000001</v>
      </c>
      <c r="J1452" s="54">
        <f t="shared" ref="J1452:J1453" si="100">SUM(H1452:I1452)</f>
        <v>3.5289000000000001</v>
      </c>
    </row>
    <row r="1453" spans="1:10" ht="12.75">
      <c r="A1453" s="446" t="s">
        <v>698</v>
      </c>
      <c r="B1453" s="465" t="s">
        <v>406</v>
      </c>
      <c r="C1453" s="441">
        <v>88267</v>
      </c>
      <c r="D1453" s="447" t="s">
        <v>741</v>
      </c>
      <c r="E1453" s="432" t="s">
        <v>740</v>
      </c>
      <c r="F1453" s="111">
        <v>0.13500000000000001</v>
      </c>
      <c r="G1453" s="605">
        <v>32.130000000000003</v>
      </c>
      <c r="H1453" s="55"/>
      <c r="I1453" s="56">
        <f>F1453*G1453</f>
        <v>4.3375500000000002</v>
      </c>
      <c r="J1453" s="54">
        <f t="shared" si="100"/>
        <v>4.3375500000000002</v>
      </c>
    </row>
    <row r="1454" spans="1:10" ht="12.75">
      <c r="A1454" s="449"/>
      <c r="B1454" s="441"/>
      <c r="C1454" s="476"/>
      <c r="D1454" s="451" t="s">
        <v>696</v>
      </c>
      <c r="E1454" s="470"/>
      <c r="F1454" s="61"/>
      <c r="G1454" s="58"/>
      <c r="H1454" s="59">
        <f>SUM(H1451:H1453)</f>
        <v>115</v>
      </c>
      <c r="I1454" s="59">
        <f>SUM(I1451:I1453)</f>
        <v>7.8664500000000004</v>
      </c>
      <c r="J1454" s="60">
        <f>SUM(H1454:I1454)</f>
        <v>122.86645</v>
      </c>
    </row>
    <row r="1455" spans="1:10" ht="12.75">
      <c r="A1455" s="469" t="s">
        <v>1052</v>
      </c>
      <c r="B1455" s="1027" t="s">
        <v>1221</v>
      </c>
      <c r="C1455" s="1028"/>
      <c r="D1455" s="1028"/>
      <c r="E1455" s="457"/>
      <c r="F1455" s="457"/>
      <c r="G1455" s="457"/>
      <c r="H1455" s="457"/>
      <c r="I1455" s="457"/>
      <c r="J1455" s="458"/>
    </row>
    <row r="1457" spans="1:10" ht="12.75">
      <c r="A1457" s="463" t="s">
        <v>697</v>
      </c>
      <c r="B1457" s="463"/>
      <c r="C1457" s="438" t="s">
        <v>2395</v>
      </c>
      <c r="D1457" s="464" t="s">
        <v>1007</v>
      </c>
      <c r="E1457" s="376" t="s">
        <v>411</v>
      </c>
      <c r="F1457" s="440" t="s">
        <v>692</v>
      </c>
      <c r="G1457" s="376" t="s">
        <v>693</v>
      </c>
      <c r="H1457" s="440" t="s">
        <v>694</v>
      </c>
      <c r="I1457" s="440" t="s">
        <v>695</v>
      </c>
      <c r="J1457" s="440" t="s">
        <v>696</v>
      </c>
    </row>
    <row r="1458" spans="1:10" ht="12.75">
      <c r="A1458" s="446" t="s">
        <v>699</v>
      </c>
      <c r="B1458" s="465" t="s">
        <v>409</v>
      </c>
      <c r="C1458" s="478" t="s">
        <v>2420</v>
      </c>
      <c r="D1458" s="469" t="s">
        <v>1007</v>
      </c>
      <c r="E1458" s="55" t="s">
        <v>15</v>
      </c>
      <c r="F1458" s="51">
        <v>1</v>
      </c>
      <c r="G1458" s="466">
        <v>44</v>
      </c>
      <c r="H1458" s="52">
        <f>F1458*G1458</f>
        <v>44</v>
      </c>
      <c r="I1458" s="53"/>
      <c r="J1458" s="54">
        <f>SUM(H1458:I1458)</f>
        <v>44</v>
      </c>
    </row>
    <row r="1459" spans="1:10" ht="12.75">
      <c r="A1459" s="446" t="s">
        <v>698</v>
      </c>
      <c r="B1459" s="465" t="s">
        <v>406</v>
      </c>
      <c r="C1459" s="441">
        <v>88248</v>
      </c>
      <c r="D1459" s="447" t="s">
        <v>739</v>
      </c>
      <c r="E1459" s="432" t="s">
        <v>740</v>
      </c>
      <c r="F1459" s="111">
        <v>0.13500000000000001</v>
      </c>
      <c r="G1459" s="605">
        <v>26.14</v>
      </c>
      <c r="H1459" s="52"/>
      <c r="I1459" s="56">
        <f>F1459*G1459</f>
        <v>3.5289000000000001</v>
      </c>
      <c r="J1459" s="54">
        <f t="shared" ref="J1459:J1460" si="101">SUM(H1459:I1459)</f>
        <v>3.5289000000000001</v>
      </c>
    </row>
    <row r="1460" spans="1:10" ht="12.75">
      <c r="A1460" s="446" t="s">
        <v>698</v>
      </c>
      <c r="B1460" s="465" t="s">
        <v>406</v>
      </c>
      <c r="C1460" s="441">
        <v>88267</v>
      </c>
      <c r="D1460" s="447" t="s">
        <v>741</v>
      </c>
      <c r="E1460" s="432" t="s">
        <v>740</v>
      </c>
      <c r="F1460" s="111">
        <v>0.13500000000000001</v>
      </c>
      <c r="G1460" s="605">
        <v>32.130000000000003</v>
      </c>
      <c r="H1460" s="55"/>
      <c r="I1460" s="56">
        <f>F1460*G1460</f>
        <v>4.3375500000000002</v>
      </c>
      <c r="J1460" s="54">
        <f t="shared" si="101"/>
        <v>4.3375500000000002</v>
      </c>
    </row>
    <row r="1461" spans="1:10" ht="12.75">
      <c r="A1461" s="449"/>
      <c r="B1461" s="441"/>
      <c r="C1461" s="476"/>
      <c r="D1461" s="451" t="s">
        <v>696</v>
      </c>
      <c r="E1461" s="470"/>
      <c r="F1461" s="61"/>
      <c r="G1461" s="58"/>
      <c r="H1461" s="59">
        <f>SUM(H1458:H1460)</f>
        <v>44</v>
      </c>
      <c r="I1461" s="59">
        <f>SUM(I1458:I1460)</f>
        <v>7.8664500000000004</v>
      </c>
      <c r="J1461" s="60">
        <f>SUM(H1461:I1461)</f>
        <v>51.86645</v>
      </c>
    </row>
    <row r="1462" spans="1:10" ht="12.75">
      <c r="A1462" s="469" t="s">
        <v>1052</v>
      </c>
      <c r="B1462" s="1027" t="s">
        <v>1221</v>
      </c>
      <c r="C1462" s="1028"/>
      <c r="D1462" s="1028"/>
      <c r="E1462" s="457"/>
      <c r="F1462" s="457"/>
      <c r="G1462" s="457"/>
      <c r="H1462" s="457"/>
      <c r="I1462" s="457"/>
      <c r="J1462" s="458"/>
    </row>
    <row r="1464" spans="1:10" ht="12.75">
      <c r="A1464" s="463" t="s">
        <v>697</v>
      </c>
      <c r="B1464" s="463"/>
      <c r="C1464" s="438" t="s">
        <v>2396</v>
      </c>
      <c r="D1464" s="464" t="s">
        <v>1008</v>
      </c>
      <c r="E1464" s="376" t="s">
        <v>411</v>
      </c>
      <c r="F1464" s="440" t="s">
        <v>692</v>
      </c>
      <c r="G1464" s="376" t="s">
        <v>693</v>
      </c>
      <c r="H1464" s="440" t="s">
        <v>694</v>
      </c>
      <c r="I1464" s="440" t="s">
        <v>695</v>
      </c>
      <c r="J1464" s="440" t="s">
        <v>696</v>
      </c>
    </row>
    <row r="1465" spans="1:10" ht="12.75">
      <c r="A1465" s="446" t="s">
        <v>699</v>
      </c>
      <c r="B1465" s="465" t="s">
        <v>409</v>
      </c>
      <c r="C1465" s="478" t="s">
        <v>2420</v>
      </c>
      <c r="D1465" s="469" t="s">
        <v>1008</v>
      </c>
      <c r="E1465" s="55" t="s">
        <v>15</v>
      </c>
      <c r="F1465" s="51">
        <v>1</v>
      </c>
      <c r="G1465" s="466">
        <v>15.2</v>
      </c>
      <c r="H1465" s="52">
        <f>F1465*G1465</f>
        <v>15.2</v>
      </c>
      <c r="I1465" s="53"/>
      <c r="J1465" s="54">
        <f>SUM(H1465:I1465)</f>
        <v>15.2</v>
      </c>
    </row>
    <row r="1466" spans="1:10" ht="12.75">
      <c r="A1466" s="446" t="s">
        <v>698</v>
      </c>
      <c r="B1466" s="465" t="s">
        <v>406</v>
      </c>
      <c r="C1466" s="441">
        <v>88248</v>
      </c>
      <c r="D1466" s="447" t="s">
        <v>739</v>
      </c>
      <c r="E1466" s="432" t="s">
        <v>740</v>
      </c>
      <c r="F1466" s="111">
        <v>0.13500000000000001</v>
      </c>
      <c r="G1466" s="605">
        <v>26.14</v>
      </c>
      <c r="H1466" s="52"/>
      <c r="I1466" s="56">
        <f>F1466*G1466</f>
        <v>3.5289000000000001</v>
      </c>
      <c r="J1466" s="54">
        <f t="shared" ref="J1466:J1467" si="102">SUM(H1466:I1466)</f>
        <v>3.5289000000000001</v>
      </c>
    </row>
    <row r="1467" spans="1:10" ht="12.75">
      <c r="A1467" s="446" t="s">
        <v>698</v>
      </c>
      <c r="B1467" s="465" t="s">
        <v>406</v>
      </c>
      <c r="C1467" s="441">
        <v>88267</v>
      </c>
      <c r="D1467" s="447" t="s">
        <v>741</v>
      </c>
      <c r="E1467" s="432" t="s">
        <v>740</v>
      </c>
      <c r="F1467" s="111">
        <v>0.13500000000000001</v>
      </c>
      <c r="G1467" s="605">
        <v>32.130000000000003</v>
      </c>
      <c r="H1467" s="55"/>
      <c r="I1467" s="56">
        <f>F1467*G1467</f>
        <v>4.3375500000000002</v>
      </c>
      <c r="J1467" s="54">
        <f t="shared" si="102"/>
        <v>4.3375500000000002</v>
      </c>
    </row>
    <row r="1468" spans="1:10" ht="12.75">
      <c r="A1468" s="449"/>
      <c r="B1468" s="441"/>
      <c r="C1468" s="476"/>
      <c r="D1468" s="451" t="s">
        <v>696</v>
      </c>
      <c r="E1468" s="470"/>
      <c r="F1468" s="61"/>
      <c r="G1468" s="58"/>
      <c r="H1468" s="59">
        <f>SUM(H1465:H1467)</f>
        <v>15.2</v>
      </c>
      <c r="I1468" s="59">
        <f>SUM(I1465:I1467)</f>
        <v>7.8664500000000004</v>
      </c>
      <c r="J1468" s="60">
        <f>SUM(H1468:I1468)</f>
        <v>23.06645</v>
      </c>
    </row>
    <row r="1469" spans="1:10" ht="12.75">
      <c r="A1469" s="469" t="s">
        <v>1052</v>
      </c>
      <c r="B1469" s="1027" t="s">
        <v>1221</v>
      </c>
      <c r="C1469" s="1028"/>
      <c r="D1469" s="1028"/>
      <c r="E1469" s="457"/>
      <c r="F1469" s="457"/>
      <c r="G1469" s="457"/>
      <c r="H1469" s="457"/>
      <c r="I1469" s="457"/>
      <c r="J1469" s="458"/>
    </row>
    <row r="1471" spans="1:10" ht="12.75">
      <c r="A1471" s="463" t="s">
        <v>697</v>
      </c>
      <c r="B1471" s="463"/>
      <c r="C1471" s="438" t="s">
        <v>2397</v>
      </c>
      <c r="D1471" s="464" t="s">
        <v>1009</v>
      </c>
      <c r="E1471" s="376" t="s">
        <v>411</v>
      </c>
      <c r="F1471" s="440" t="s">
        <v>692</v>
      </c>
      <c r="G1471" s="376" t="s">
        <v>693</v>
      </c>
      <c r="H1471" s="440" t="s">
        <v>694</v>
      </c>
      <c r="I1471" s="440" t="s">
        <v>695</v>
      </c>
      <c r="J1471" s="440" t="s">
        <v>696</v>
      </c>
    </row>
    <row r="1472" spans="1:10" ht="12.75">
      <c r="A1472" s="446" t="s">
        <v>699</v>
      </c>
      <c r="B1472" s="465" t="s">
        <v>409</v>
      </c>
      <c r="C1472" s="478" t="s">
        <v>2420</v>
      </c>
      <c r="D1472" s="469" t="s">
        <v>1009</v>
      </c>
      <c r="E1472" s="55" t="s">
        <v>15</v>
      </c>
      <c r="F1472" s="51">
        <v>1</v>
      </c>
      <c r="G1472" s="466">
        <v>28.1</v>
      </c>
      <c r="H1472" s="52">
        <f>F1472*G1472</f>
        <v>28.1</v>
      </c>
      <c r="I1472" s="53"/>
      <c r="J1472" s="54">
        <f>SUM(H1472:I1472)</f>
        <v>28.1</v>
      </c>
    </row>
    <row r="1473" spans="1:10" ht="12.75">
      <c r="A1473" s="446" t="s">
        <v>698</v>
      </c>
      <c r="B1473" s="465" t="s">
        <v>406</v>
      </c>
      <c r="C1473" s="441">
        <v>88248</v>
      </c>
      <c r="D1473" s="447" t="s">
        <v>739</v>
      </c>
      <c r="E1473" s="432" t="s">
        <v>740</v>
      </c>
      <c r="F1473" s="111">
        <v>0.13500000000000001</v>
      </c>
      <c r="G1473" s="605">
        <v>26.14</v>
      </c>
      <c r="H1473" s="52"/>
      <c r="I1473" s="56">
        <f>F1473*G1473</f>
        <v>3.5289000000000001</v>
      </c>
      <c r="J1473" s="54">
        <f t="shared" ref="J1473:J1474" si="103">SUM(H1473:I1473)</f>
        <v>3.5289000000000001</v>
      </c>
    </row>
    <row r="1474" spans="1:10" ht="12.75">
      <c r="A1474" s="446" t="s">
        <v>698</v>
      </c>
      <c r="B1474" s="465" t="s">
        <v>406</v>
      </c>
      <c r="C1474" s="441">
        <v>88267</v>
      </c>
      <c r="D1474" s="447" t="s">
        <v>741</v>
      </c>
      <c r="E1474" s="432" t="s">
        <v>740</v>
      </c>
      <c r="F1474" s="111">
        <v>0.13500000000000001</v>
      </c>
      <c r="G1474" s="605">
        <v>32.130000000000003</v>
      </c>
      <c r="H1474" s="55"/>
      <c r="I1474" s="56">
        <f>F1474*G1474</f>
        <v>4.3375500000000002</v>
      </c>
      <c r="J1474" s="54">
        <f t="shared" si="103"/>
        <v>4.3375500000000002</v>
      </c>
    </row>
    <row r="1475" spans="1:10" ht="12.75">
      <c r="A1475" s="449"/>
      <c r="B1475" s="441"/>
      <c r="C1475" s="476"/>
      <c r="D1475" s="451" t="s">
        <v>696</v>
      </c>
      <c r="E1475" s="470"/>
      <c r="F1475" s="61"/>
      <c r="G1475" s="58"/>
      <c r="H1475" s="59">
        <f>SUM(H1472:H1474)</f>
        <v>28.1</v>
      </c>
      <c r="I1475" s="59">
        <f>SUM(I1472:I1474)</f>
        <v>7.8664500000000004</v>
      </c>
      <c r="J1475" s="60">
        <f>SUM(H1475:I1475)</f>
        <v>35.966450000000002</v>
      </c>
    </row>
    <row r="1476" spans="1:10" ht="12.75">
      <c r="A1476" s="469" t="s">
        <v>1052</v>
      </c>
      <c r="B1476" s="1027" t="s">
        <v>1221</v>
      </c>
      <c r="C1476" s="1028"/>
      <c r="D1476" s="1028"/>
      <c r="E1476" s="457"/>
      <c r="F1476" s="457"/>
      <c r="G1476" s="457"/>
      <c r="H1476" s="457"/>
      <c r="I1476" s="457"/>
      <c r="J1476" s="458"/>
    </row>
    <row r="1478" spans="1:10" ht="12.75">
      <c r="A1478" s="463" t="s">
        <v>697</v>
      </c>
      <c r="B1478" s="463"/>
      <c r="C1478" s="438" t="s">
        <v>2398</v>
      </c>
      <c r="D1478" s="464" t="s">
        <v>1010</v>
      </c>
      <c r="E1478" s="376" t="s">
        <v>411</v>
      </c>
      <c r="F1478" s="440" t="s">
        <v>692</v>
      </c>
      <c r="G1478" s="376" t="s">
        <v>693</v>
      </c>
      <c r="H1478" s="440" t="s">
        <v>694</v>
      </c>
      <c r="I1478" s="440" t="s">
        <v>695</v>
      </c>
      <c r="J1478" s="440" t="s">
        <v>696</v>
      </c>
    </row>
    <row r="1479" spans="1:10" ht="12.75">
      <c r="A1479" s="446" t="s">
        <v>699</v>
      </c>
      <c r="B1479" s="465" t="s">
        <v>409</v>
      </c>
      <c r="C1479" s="478" t="s">
        <v>2420</v>
      </c>
      <c r="D1479" s="469" t="s">
        <v>1010</v>
      </c>
      <c r="E1479" s="55" t="s">
        <v>15</v>
      </c>
      <c r="F1479" s="51">
        <v>1</v>
      </c>
      <c r="G1479" s="466">
        <v>36</v>
      </c>
      <c r="H1479" s="52">
        <f>F1479*G1479</f>
        <v>36</v>
      </c>
      <c r="I1479" s="53"/>
      <c r="J1479" s="54">
        <f>SUM(H1479:I1479)</f>
        <v>36</v>
      </c>
    </row>
    <row r="1480" spans="1:10" ht="12.75">
      <c r="A1480" s="446" t="s">
        <v>698</v>
      </c>
      <c r="B1480" s="465" t="s">
        <v>406</v>
      </c>
      <c r="C1480" s="441">
        <v>88248</v>
      </c>
      <c r="D1480" s="447" t="s">
        <v>739</v>
      </c>
      <c r="E1480" s="432" t="s">
        <v>740</v>
      </c>
      <c r="F1480" s="111">
        <v>0.13500000000000001</v>
      </c>
      <c r="G1480" s="605">
        <v>26.14</v>
      </c>
      <c r="H1480" s="52"/>
      <c r="I1480" s="56">
        <f>F1480*G1480</f>
        <v>3.5289000000000001</v>
      </c>
      <c r="J1480" s="54">
        <f t="shared" ref="J1480:J1481" si="104">SUM(H1480:I1480)</f>
        <v>3.5289000000000001</v>
      </c>
    </row>
    <row r="1481" spans="1:10" ht="12.75">
      <c r="A1481" s="446" t="s">
        <v>698</v>
      </c>
      <c r="B1481" s="465" t="s">
        <v>406</v>
      </c>
      <c r="C1481" s="441">
        <v>88267</v>
      </c>
      <c r="D1481" s="447" t="s">
        <v>741</v>
      </c>
      <c r="E1481" s="432" t="s">
        <v>740</v>
      </c>
      <c r="F1481" s="111">
        <v>0.13500000000000001</v>
      </c>
      <c r="G1481" s="605">
        <v>32.130000000000003</v>
      </c>
      <c r="H1481" s="55"/>
      <c r="I1481" s="56">
        <f>F1481*G1481</f>
        <v>4.3375500000000002</v>
      </c>
      <c r="J1481" s="54">
        <f t="shared" si="104"/>
        <v>4.3375500000000002</v>
      </c>
    </row>
    <row r="1482" spans="1:10" ht="12.75">
      <c r="A1482" s="449"/>
      <c r="B1482" s="441"/>
      <c r="C1482" s="476"/>
      <c r="D1482" s="451" t="s">
        <v>696</v>
      </c>
      <c r="E1482" s="470"/>
      <c r="F1482" s="61"/>
      <c r="G1482" s="58"/>
      <c r="H1482" s="59">
        <f>SUM(H1479:H1481)</f>
        <v>36</v>
      </c>
      <c r="I1482" s="59">
        <f>SUM(I1479:I1481)</f>
        <v>7.8664500000000004</v>
      </c>
      <c r="J1482" s="60">
        <f>SUM(H1482:I1482)</f>
        <v>43.86645</v>
      </c>
    </row>
    <row r="1483" spans="1:10" ht="12.75">
      <c r="A1483" s="469" t="s">
        <v>1052</v>
      </c>
      <c r="B1483" s="1027" t="s">
        <v>1221</v>
      </c>
      <c r="C1483" s="1028"/>
      <c r="D1483" s="1028"/>
      <c r="E1483" s="457"/>
      <c r="F1483" s="457"/>
      <c r="G1483" s="457"/>
      <c r="H1483" s="457"/>
      <c r="I1483" s="457"/>
      <c r="J1483" s="458"/>
    </row>
    <row r="1485" spans="1:10" ht="12.75">
      <c r="A1485" s="463" t="s">
        <v>697</v>
      </c>
      <c r="B1485" s="463"/>
      <c r="C1485" s="438" t="s">
        <v>2399</v>
      </c>
      <c r="D1485" s="464" t="s">
        <v>1011</v>
      </c>
      <c r="E1485" s="376" t="s">
        <v>411</v>
      </c>
      <c r="F1485" s="440" t="s">
        <v>692</v>
      </c>
      <c r="G1485" s="376" t="s">
        <v>693</v>
      </c>
      <c r="H1485" s="440" t="s">
        <v>694</v>
      </c>
      <c r="I1485" s="440" t="s">
        <v>695</v>
      </c>
      <c r="J1485" s="440" t="s">
        <v>696</v>
      </c>
    </row>
    <row r="1486" spans="1:10" ht="12.75">
      <c r="A1486" s="446" t="s">
        <v>699</v>
      </c>
      <c r="B1486" s="465" t="s">
        <v>409</v>
      </c>
      <c r="C1486" s="478" t="s">
        <v>2420</v>
      </c>
      <c r="D1486" s="469" t="s">
        <v>1011</v>
      </c>
      <c r="E1486" s="55" t="s">
        <v>15</v>
      </c>
      <c r="F1486" s="51">
        <v>1</v>
      </c>
      <c r="G1486" s="466">
        <v>42.1</v>
      </c>
      <c r="H1486" s="52">
        <f>F1486*G1486</f>
        <v>42.1</v>
      </c>
      <c r="I1486" s="53"/>
      <c r="J1486" s="54">
        <f>H1486</f>
        <v>42.1</v>
      </c>
    </row>
    <row r="1487" spans="1:10" ht="12.75">
      <c r="A1487" s="446" t="s">
        <v>698</v>
      </c>
      <c r="B1487" s="465" t="s">
        <v>406</v>
      </c>
      <c r="C1487" s="441">
        <v>88248</v>
      </c>
      <c r="D1487" s="447" t="s">
        <v>739</v>
      </c>
      <c r="E1487" s="432" t="s">
        <v>740</v>
      </c>
      <c r="F1487" s="111">
        <v>0.13500000000000001</v>
      </c>
      <c r="G1487" s="605">
        <v>26.14</v>
      </c>
      <c r="H1487" s="52"/>
      <c r="I1487" s="56">
        <f>F1487*G1487</f>
        <v>3.5289000000000001</v>
      </c>
      <c r="J1487" s="54">
        <f>I1487</f>
        <v>3.5289000000000001</v>
      </c>
    </row>
    <row r="1488" spans="1:10" ht="12.75">
      <c r="A1488" s="446" t="s">
        <v>698</v>
      </c>
      <c r="B1488" s="465" t="s">
        <v>406</v>
      </c>
      <c r="C1488" s="441">
        <v>88267</v>
      </c>
      <c r="D1488" s="447" t="s">
        <v>741</v>
      </c>
      <c r="E1488" s="432" t="s">
        <v>740</v>
      </c>
      <c r="F1488" s="111">
        <v>0.13500000000000001</v>
      </c>
      <c r="G1488" s="605">
        <v>32.130000000000003</v>
      </c>
      <c r="H1488" s="55"/>
      <c r="I1488" s="56">
        <f>F1488*G1488</f>
        <v>4.3375500000000002</v>
      </c>
      <c r="J1488" s="54">
        <f>I1488</f>
        <v>4.3375500000000002</v>
      </c>
    </row>
    <row r="1489" spans="1:10" ht="12.75">
      <c r="A1489" s="449"/>
      <c r="B1489" s="441"/>
      <c r="C1489" s="476"/>
      <c r="D1489" s="451" t="s">
        <v>696</v>
      </c>
      <c r="E1489" s="470"/>
      <c r="F1489" s="61"/>
      <c r="G1489" s="58"/>
      <c r="H1489" s="59">
        <f>SUM(H1486:H1488)</f>
        <v>42.1</v>
      </c>
      <c r="I1489" s="59">
        <f>SUM(I1486:I1488)</f>
        <v>7.8664500000000004</v>
      </c>
      <c r="J1489" s="60">
        <f>SUM(H1489:I1489)</f>
        <v>49.966450000000002</v>
      </c>
    </row>
    <row r="1490" spans="1:10" ht="12.75">
      <c r="A1490" s="469" t="s">
        <v>1052</v>
      </c>
      <c r="B1490" s="1027" t="s">
        <v>1221</v>
      </c>
      <c r="C1490" s="1028"/>
      <c r="D1490" s="1028"/>
      <c r="E1490" s="457"/>
      <c r="F1490" s="457"/>
      <c r="G1490" s="457"/>
      <c r="H1490" s="457"/>
      <c r="I1490" s="457"/>
      <c r="J1490" s="458"/>
    </row>
    <row r="1492" spans="1:10" ht="12.75">
      <c r="A1492" s="463" t="s">
        <v>697</v>
      </c>
      <c r="B1492" s="463"/>
      <c r="C1492" s="438" t="s">
        <v>2400</v>
      </c>
      <c r="D1492" s="464" t="s">
        <v>1012</v>
      </c>
      <c r="E1492" s="376" t="s">
        <v>411</v>
      </c>
      <c r="F1492" s="440" t="s">
        <v>692</v>
      </c>
      <c r="G1492" s="376" t="s">
        <v>693</v>
      </c>
      <c r="H1492" s="440" t="s">
        <v>694</v>
      </c>
      <c r="I1492" s="440" t="s">
        <v>695</v>
      </c>
      <c r="J1492" s="440" t="s">
        <v>696</v>
      </c>
    </row>
    <row r="1493" spans="1:10" ht="12.75">
      <c r="A1493" s="446" t="s">
        <v>699</v>
      </c>
      <c r="B1493" s="465" t="s">
        <v>409</v>
      </c>
      <c r="C1493" s="478" t="s">
        <v>2420</v>
      </c>
      <c r="D1493" s="469" t="s">
        <v>1012</v>
      </c>
      <c r="E1493" s="55" t="s">
        <v>15</v>
      </c>
      <c r="F1493" s="51">
        <v>1</v>
      </c>
      <c r="G1493" s="466">
        <v>2620</v>
      </c>
      <c r="H1493" s="52">
        <f>F1493*G1493</f>
        <v>2620</v>
      </c>
      <c r="I1493" s="53"/>
      <c r="J1493" s="54">
        <f>SUM(H1493:I1493)</f>
        <v>2620</v>
      </c>
    </row>
    <row r="1494" spans="1:10" ht="12.75">
      <c r="A1494" s="446" t="s">
        <v>698</v>
      </c>
      <c r="B1494" s="465" t="s">
        <v>406</v>
      </c>
      <c r="C1494" s="441">
        <v>88248</v>
      </c>
      <c r="D1494" s="447" t="s">
        <v>739</v>
      </c>
      <c r="E1494" s="432" t="s">
        <v>740</v>
      </c>
      <c r="F1494" s="111">
        <v>0.13500000000000001</v>
      </c>
      <c r="G1494" s="605">
        <v>26.14</v>
      </c>
      <c r="H1494" s="52"/>
      <c r="I1494" s="56">
        <f>F1494*G1494</f>
        <v>3.5289000000000001</v>
      </c>
      <c r="J1494" s="54">
        <f t="shared" ref="J1494:J1495" si="105">SUM(H1494:I1494)</f>
        <v>3.5289000000000001</v>
      </c>
    </row>
    <row r="1495" spans="1:10" ht="12.75">
      <c r="A1495" s="446" t="s">
        <v>698</v>
      </c>
      <c r="B1495" s="465" t="s">
        <v>406</v>
      </c>
      <c r="C1495" s="441">
        <v>88267</v>
      </c>
      <c r="D1495" s="447" t="s">
        <v>741</v>
      </c>
      <c r="E1495" s="432" t="s">
        <v>740</v>
      </c>
      <c r="F1495" s="111">
        <v>0.13500000000000001</v>
      </c>
      <c r="G1495" s="605">
        <v>32.130000000000003</v>
      </c>
      <c r="H1495" s="55"/>
      <c r="I1495" s="56">
        <f>F1495*G1495</f>
        <v>4.3375500000000002</v>
      </c>
      <c r="J1495" s="54">
        <f t="shared" si="105"/>
        <v>4.3375500000000002</v>
      </c>
    </row>
    <row r="1496" spans="1:10" ht="12.75">
      <c r="A1496" s="449"/>
      <c r="B1496" s="441"/>
      <c r="C1496" s="476"/>
      <c r="D1496" s="451" t="s">
        <v>696</v>
      </c>
      <c r="E1496" s="470"/>
      <c r="F1496" s="61"/>
      <c r="G1496" s="58"/>
      <c r="H1496" s="59">
        <f>SUM(H1493:H1495)</f>
        <v>2620</v>
      </c>
      <c r="I1496" s="59">
        <f>SUM(I1493:I1495)</f>
        <v>7.8664500000000004</v>
      </c>
      <c r="J1496" s="60">
        <f>SUM(H1496:I1496)</f>
        <v>2627.86645</v>
      </c>
    </row>
    <row r="1497" spans="1:10" ht="12.75">
      <c r="A1497" s="469" t="s">
        <v>1052</v>
      </c>
      <c r="B1497" s="1027" t="s">
        <v>1221</v>
      </c>
      <c r="C1497" s="1028"/>
      <c r="D1497" s="1028"/>
      <c r="E1497" s="457"/>
      <c r="F1497" s="457"/>
      <c r="G1497" s="457"/>
      <c r="H1497" s="457"/>
      <c r="I1497" s="457"/>
      <c r="J1497" s="458"/>
    </row>
    <row r="1499" spans="1:10" ht="12.75">
      <c r="A1499" s="463" t="s">
        <v>697</v>
      </c>
      <c r="B1499" s="463"/>
      <c r="C1499" s="438" t="s">
        <v>2401</v>
      </c>
      <c r="D1499" s="464" t="s">
        <v>1013</v>
      </c>
      <c r="E1499" s="376" t="s">
        <v>411</v>
      </c>
      <c r="F1499" s="440" t="s">
        <v>692</v>
      </c>
      <c r="G1499" s="376" t="s">
        <v>693</v>
      </c>
      <c r="H1499" s="440" t="s">
        <v>694</v>
      </c>
      <c r="I1499" s="440" t="s">
        <v>695</v>
      </c>
      <c r="J1499" s="440" t="s">
        <v>696</v>
      </c>
    </row>
    <row r="1500" spans="1:10" ht="12.75">
      <c r="A1500" s="446" t="s">
        <v>699</v>
      </c>
      <c r="B1500" s="465" t="s">
        <v>409</v>
      </c>
      <c r="C1500" s="478" t="s">
        <v>2420</v>
      </c>
      <c r="D1500" s="469" t="s">
        <v>1013</v>
      </c>
      <c r="E1500" s="55" t="s">
        <v>15</v>
      </c>
      <c r="F1500" s="51">
        <v>1</v>
      </c>
      <c r="G1500" s="466">
        <v>1400</v>
      </c>
      <c r="H1500" s="52">
        <f>F1500*G1500</f>
        <v>1400</v>
      </c>
      <c r="I1500" s="53"/>
      <c r="J1500" s="54">
        <f>SUM(H1500:I1500)</f>
        <v>1400</v>
      </c>
    </row>
    <row r="1501" spans="1:10" ht="12.75">
      <c r="A1501" s="446" t="s">
        <v>698</v>
      </c>
      <c r="B1501" s="465" t="s">
        <v>406</v>
      </c>
      <c r="C1501" s="441">
        <v>88248</v>
      </c>
      <c r="D1501" s="447" t="s">
        <v>739</v>
      </c>
      <c r="E1501" s="432" t="s">
        <v>740</v>
      </c>
      <c r="F1501" s="111">
        <v>0.13500000000000001</v>
      </c>
      <c r="G1501" s="605">
        <v>26.14</v>
      </c>
      <c r="H1501" s="52"/>
      <c r="I1501" s="56">
        <f>F1501*G1501</f>
        <v>3.5289000000000001</v>
      </c>
      <c r="J1501" s="54">
        <f t="shared" ref="J1501:J1502" si="106">SUM(H1501:I1501)</f>
        <v>3.5289000000000001</v>
      </c>
    </row>
    <row r="1502" spans="1:10" ht="12.75">
      <c r="A1502" s="446" t="s">
        <v>698</v>
      </c>
      <c r="B1502" s="465" t="s">
        <v>406</v>
      </c>
      <c r="C1502" s="441">
        <v>88267</v>
      </c>
      <c r="D1502" s="447" t="s">
        <v>741</v>
      </c>
      <c r="E1502" s="432" t="s">
        <v>740</v>
      </c>
      <c r="F1502" s="111">
        <v>0.13500000000000001</v>
      </c>
      <c r="G1502" s="605">
        <v>32.130000000000003</v>
      </c>
      <c r="H1502" s="55"/>
      <c r="I1502" s="56">
        <f>F1502*G1502</f>
        <v>4.3375500000000002</v>
      </c>
      <c r="J1502" s="54">
        <f t="shared" si="106"/>
        <v>4.3375500000000002</v>
      </c>
    </row>
    <row r="1503" spans="1:10" ht="12.75">
      <c r="A1503" s="449"/>
      <c r="B1503" s="441"/>
      <c r="C1503" s="476"/>
      <c r="D1503" s="451" t="s">
        <v>696</v>
      </c>
      <c r="E1503" s="470"/>
      <c r="F1503" s="61"/>
      <c r="G1503" s="58"/>
      <c r="H1503" s="59">
        <f>SUM(H1500:H1502)</f>
        <v>1400</v>
      </c>
      <c r="I1503" s="59">
        <f>SUM(I1500:I1502)</f>
        <v>7.8664500000000004</v>
      </c>
      <c r="J1503" s="60">
        <f>SUM(H1503:I1503)</f>
        <v>1407.86645</v>
      </c>
    </row>
    <row r="1504" spans="1:10" ht="12.75">
      <c r="A1504" s="469" t="s">
        <v>1052</v>
      </c>
      <c r="B1504" s="1027" t="s">
        <v>1221</v>
      </c>
      <c r="C1504" s="1028"/>
      <c r="D1504" s="1028"/>
      <c r="E1504" s="457"/>
      <c r="F1504" s="457"/>
      <c r="G1504" s="457"/>
      <c r="H1504" s="457"/>
      <c r="I1504" s="457"/>
      <c r="J1504" s="458"/>
    </row>
    <row r="1506" spans="1:10" ht="12.75">
      <c r="A1506" s="463" t="s">
        <v>697</v>
      </c>
      <c r="B1506" s="463"/>
      <c r="C1506" s="438" t="s">
        <v>2402</v>
      </c>
      <c r="D1506" s="464" t="s">
        <v>1014</v>
      </c>
      <c r="E1506" s="376" t="s">
        <v>411</v>
      </c>
      <c r="F1506" s="440" t="s">
        <v>692</v>
      </c>
      <c r="G1506" s="376" t="s">
        <v>693</v>
      </c>
      <c r="H1506" s="440" t="s">
        <v>694</v>
      </c>
      <c r="I1506" s="440" t="s">
        <v>695</v>
      </c>
      <c r="J1506" s="440" t="s">
        <v>696</v>
      </c>
    </row>
    <row r="1507" spans="1:10" ht="12.75">
      <c r="A1507" s="446" t="s">
        <v>699</v>
      </c>
      <c r="B1507" s="465" t="s">
        <v>409</v>
      </c>
      <c r="C1507" s="478" t="s">
        <v>2420</v>
      </c>
      <c r="D1507" s="469" t="s">
        <v>1014</v>
      </c>
      <c r="E1507" s="55" t="s">
        <v>15</v>
      </c>
      <c r="F1507" s="51">
        <v>1</v>
      </c>
      <c r="G1507" s="466">
        <v>15.1</v>
      </c>
      <c r="H1507" s="52">
        <f>F1507*G1507</f>
        <v>15.1</v>
      </c>
      <c r="I1507" s="53"/>
      <c r="J1507" s="54">
        <f>SUM(H1507:I1507)</f>
        <v>15.1</v>
      </c>
    </row>
    <row r="1508" spans="1:10" ht="12.75">
      <c r="A1508" s="446" t="s">
        <v>698</v>
      </c>
      <c r="B1508" s="465" t="s">
        <v>406</v>
      </c>
      <c r="C1508" s="441">
        <v>88248</v>
      </c>
      <c r="D1508" s="447" t="s">
        <v>739</v>
      </c>
      <c r="E1508" s="432" t="s">
        <v>740</v>
      </c>
      <c r="F1508" s="111">
        <v>0.13500000000000001</v>
      </c>
      <c r="G1508" s="605">
        <v>26.14</v>
      </c>
      <c r="H1508" s="52"/>
      <c r="I1508" s="56">
        <f>F1508*G1508</f>
        <v>3.5289000000000001</v>
      </c>
      <c r="J1508" s="54">
        <f t="shared" ref="J1508:J1509" si="107">SUM(H1508:I1508)</f>
        <v>3.5289000000000001</v>
      </c>
    </row>
    <row r="1509" spans="1:10" ht="12.75">
      <c r="A1509" s="446" t="s">
        <v>698</v>
      </c>
      <c r="B1509" s="465" t="s">
        <v>406</v>
      </c>
      <c r="C1509" s="441">
        <v>88267</v>
      </c>
      <c r="D1509" s="447" t="s">
        <v>741</v>
      </c>
      <c r="E1509" s="432" t="s">
        <v>740</v>
      </c>
      <c r="F1509" s="111">
        <v>0.13500000000000001</v>
      </c>
      <c r="G1509" s="605">
        <v>32.130000000000003</v>
      </c>
      <c r="H1509" s="55"/>
      <c r="I1509" s="56">
        <f>F1509*G1509</f>
        <v>4.3375500000000002</v>
      </c>
      <c r="J1509" s="54">
        <f t="shared" si="107"/>
        <v>4.3375500000000002</v>
      </c>
    </row>
    <row r="1510" spans="1:10" ht="12.75">
      <c r="A1510" s="449"/>
      <c r="B1510" s="441"/>
      <c r="C1510" s="476"/>
      <c r="D1510" s="451" t="s">
        <v>696</v>
      </c>
      <c r="E1510" s="470"/>
      <c r="F1510" s="61"/>
      <c r="G1510" s="58"/>
      <c r="H1510" s="59">
        <f>SUM(H1507:H1509)</f>
        <v>15.1</v>
      </c>
      <c r="I1510" s="59">
        <f>SUM(I1507:I1509)</f>
        <v>7.8664500000000004</v>
      </c>
      <c r="J1510" s="60">
        <f>SUM(H1510:I1510)</f>
        <v>22.966450000000002</v>
      </c>
    </row>
    <row r="1511" spans="1:10" ht="12.75">
      <c r="A1511" s="469" t="s">
        <v>1052</v>
      </c>
      <c r="B1511" s="1027" t="s">
        <v>1221</v>
      </c>
      <c r="C1511" s="1028"/>
      <c r="D1511" s="1028"/>
      <c r="E1511" s="457"/>
      <c r="F1511" s="457"/>
      <c r="G1511" s="457"/>
      <c r="H1511" s="457"/>
      <c r="I1511" s="457"/>
      <c r="J1511" s="458"/>
    </row>
    <row r="1513" spans="1:10" ht="12.75">
      <c r="A1513" s="463" t="s">
        <v>697</v>
      </c>
      <c r="B1513" s="463"/>
      <c r="C1513" s="438" t="s">
        <v>2403</v>
      </c>
      <c r="D1513" s="464" t="s">
        <v>1015</v>
      </c>
      <c r="E1513" s="376" t="s">
        <v>411</v>
      </c>
      <c r="F1513" s="440" t="s">
        <v>692</v>
      </c>
      <c r="G1513" s="376" t="s">
        <v>693</v>
      </c>
      <c r="H1513" s="440" t="s">
        <v>694</v>
      </c>
      <c r="I1513" s="440" t="s">
        <v>695</v>
      </c>
      <c r="J1513" s="440" t="s">
        <v>696</v>
      </c>
    </row>
    <row r="1514" spans="1:10" ht="12.75">
      <c r="A1514" s="446" t="s">
        <v>699</v>
      </c>
      <c r="B1514" s="465" t="s">
        <v>409</v>
      </c>
      <c r="C1514" s="478" t="s">
        <v>2420</v>
      </c>
      <c r="D1514" s="469" t="s">
        <v>1015</v>
      </c>
      <c r="E1514" s="55" t="s">
        <v>15</v>
      </c>
      <c r="F1514" s="51">
        <v>1</v>
      </c>
      <c r="G1514" s="466">
        <v>115</v>
      </c>
      <c r="H1514" s="52">
        <f>F1514*G1514</f>
        <v>115</v>
      </c>
      <c r="I1514" s="53"/>
      <c r="J1514" s="54">
        <f>SUM(H1514:I1514)</f>
        <v>115</v>
      </c>
    </row>
    <row r="1515" spans="1:10" ht="12.75">
      <c r="A1515" s="446" t="s">
        <v>698</v>
      </c>
      <c r="B1515" s="465" t="s">
        <v>406</v>
      </c>
      <c r="C1515" s="441">
        <v>88248</v>
      </c>
      <c r="D1515" s="447" t="s">
        <v>739</v>
      </c>
      <c r="E1515" s="432" t="s">
        <v>740</v>
      </c>
      <c r="F1515" s="111">
        <v>0.13500000000000001</v>
      </c>
      <c r="G1515" s="605">
        <v>26.14</v>
      </c>
      <c r="H1515" s="52"/>
      <c r="I1515" s="56">
        <f>F1515*G1515</f>
        <v>3.5289000000000001</v>
      </c>
      <c r="J1515" s="54">
        <f t="shared" ref="J1515:J1516" si="108">SUM(H1515:I1515)</f>
        <v>3.5289000000000001</v>
      </c>
    </row>
    <row r="1516" spans="1:10" ht="12.75">
      <c r="A1516" s="446" t="s">
        <v>698</v>
      </c>
      <c r="B1516" s="465" t="s">
        <v>406</v>
      </c>
      <c r="C1516" s="441">
        <v>88267</v>
      </c>
      <c r="D1516" s="447" t="s">
        <v>741</v>
      </c>
      <c r="E1516" s="432" t="s">
        <v>740</v>
      </c>
      <c r="F1516" s="111">
        <v>0.13500000000000001</v>
      </c>
      <c r="G1516" s="605">
        <v>32.130000000000003</v>
      </c>
      <c r="H1516" s="55"/>
      <c r="I1516" s="56">
        <f>F1516*G1516</f>
        <v>4.3375500000000002</v>
      </c>
      <c r="J1516" s="54">
        <f t="shared" si="108"/>
        <v>4.3375500000000002</v>
      </c>
    </row>
    <row r="1517" spans="1:10" ht="12.75">
      <c r="A1517" s="449"/>
      <c r="B1517" s="441"/>
      <c r="C1517" s="476"/>
      <c r="D1517" s="451" t="s">
        <v>696</v>
      </c>
      <c r="E1517" s="470"/>
      <c r="F1517" s="61"/>
      <c r="G1517" s="58"/>
      <c r="H1517" s="59">
        <f>SUM(H1514:H1516)</f>
        <v>115</v>
      </c>
      <c r="I1517" s="59">
        <f>SUM(I1514:I1516)</f>
        <v>7.8664500000000004</v>
      </c>
      <c r="J1517" s="60">
        <f>SUM(H1517:I1517)</f>
        <v>122.86645</v>
      </c>
    </row>
    <row r="1518" spans="1:10" ht="12.75">
      <c r="A1518" s="469" t="s">
        <v>1052</v>
      </c>
      <c r="B1518" s="1027" t="s">
        <v>1221</v>
      </c>
      <c r="C1518" s="1028"/>
      <c r="D1518" s="1028"/>
      <c r="E1518" s="457"/>
      <c r="F1518" s="457"/>
      <c r="G1518" s="457"/>
      <c r="H1518" s="457"/>
      <c r="I1518" s="457"/>
      <c r="J1518" s="458"/>
    </row>
    <row r="1520" spans="1:10" ht="12.75">
      <c r="A1520" s="463" t="s">
        <v>697</v>
      </c>
      <c r="B1520" s="463"/>
      <c r="C1520" s="438" t="s">
        <v>2404</v>
      </c>
      <c r="D1520" s="464" t="s">
        <v>1016</v>
      </c>
      <c r="E1520" s="376" t="s">
        <v>411</v>
      </c>
      <c r="F1520" s="440" t="s">
        <v>692</v>
      </c>
      <c r="G1520" s="376" t="s">
        <v>693</v>
      </c>
      <c r="H1520" s="440" t="s">
        <v>694</v>
      </c>
      <c r="I1520" s="440" t="s">
        <v>695</v>
      </c>
      <c r="J1520" s="440" t="s">
        <v>696</v>
      </c>
    </row>
    <row r="1521" spans="1:10" ht="12.75">
      <c r="A1521" s="446" t="s">
        <v>699</v>
      </c>
      <c r="B1521" s="465" t="s">
        <v>409</v>
      </c>
      <c r="C1521" s="478" t="s">
        <v>2420</v>
      </c>
      <c r="D1521" s="469" t="s">
        <v>1016</v>
      </c>
      <c r="E1521" s="55" t="s">
        <v>15</v>
      </c>
      <c r="F1521" s="51">
        <v>1</v>
      </c>
      <c r="G1521" s="466">
        <v>520</v>
      </c>
      <c r="H1521" s="52">
        <f>F1521*G1521</f>
        <v>520</v>
      </c>
      <c r="I1521" s="53"/>
      <c r="J1521" s="54">
        <f>SUM(H1521:I1521)</f>
        <v>520</v>
      </c>
    </row>
    <row r="1522" spans="1:10" ht="12.75">
      <c r="A1522" s="446" t="s">
        <v>698</v>
      </c>
      <c r="B1522" s="465" t="s">
        <v>406</v>
      </c>
      <c r="C1522" s="441">
        <v>88248</v>
      </c>
      <c r="D1522" s="447" t="s">
        <v>739</v>
      </c>
      <c r="E1522" s="432" t="s">
        <v>740</v>
      </c>
      <c r="F1522" s="111">
        <v>0.13500000000000001</v>
      </c>
      <c r="G1522" s="605">
        <v>26.14</v>
      </c>
      <c r="H1522" s="52"/>
      <c r="I1522" s="56">
        <f>F1522*G1522</f>
        <v>3.5289000000000001</v>
      </c>
      <c r="J1522" s="54">
        <f t="shared" ref="J1522:J1523" si="109">SUM(H1522:I1522)</f>
        <v>3.5289000000000001</v>
      </c>
    </row>
    <row r="1523" spans="1:10" ht="12.75">
      <c r="A1523" s="446" t="s">
        <v>698</v>
      </c>
      <c r="B1523" s="465" t="s">
        <v>406</v>
      </c>
      <c r="C1523" s="441">
        <v>88267</v>
      </c>
      <c r="D1523" s="447" t="s">
        <v>741</v>
      </c>
      <c r="E1523" s="432" t="s">
        <v>740</v>
      </c>
      <c r="F1523" s="111">
        <v>0.13500000000000001</v>
      </c>
      <c r="G1523" s="605">
        <v>32.130000000000003</v>
      </c>
      <c r="H1523" s="55"/>
      <c r="I1523" s="56">
        <f>F1523*G1523</f>
        <v>4.3375500000000002</v>
      </c>
      <c r="J1523" s="54">
        <f t="shared" si="109"/>
        <v>4.3375500000000002</v>
      </c>
    </row>
    <row r="1524" spans="1:10" ht="12.75">
      <c r="A1524" s="449"/>
      <c r="B1524" s="441"/>
      <c r="C1524" s="476"/>
      <c r="D1524" s="451" t="s">
        <v>696</v>
      </c>
      <c r="E1524" s="470"/>
      <c r="F1524" s="61"/>
      <c r="G1524" s="58"/>
      <c r="H1524" s="59">
        <f>SUM(H1521:H1523)</f>
        <v>520</v>
      </c>
      <c r="I1524" s="59">
        <f>SUM(I1521:I1523)</f>
        <v>7.8664500000000004</v>
      </c>
      <c r="J1524" s="60">
        <f>SUM(H1524:I1524)</f>
        <v>527.86644999999999</v>
      </c>
    </row>
    <row r="1525" spans="1:10" ht="12.75">
      <c r="A1525" s="469" t="s">
        <v>1052</v>
      </c>
      <c r="B1525" s="1027" t="s">
        <v>1221</v>
      </c>
      <c r="C1525" s="1028"/>
      <c r="D1525" s="1028"/>
      <c r="E1525" s="457"/>
      <c r="F1525" s="457"/>
      <c r="G1525" s="457"/>
      <c r="H1525" s="457"/>
      <c r="I1525" s="457"/>
      <c r="J1525" s="458"/>
    </row>
    <row r="1527" spans="1:10" ht="12.75">
      <c r="A1527" s="463" t="s">
        <v>697</v>
      </c>
      <c r="B1527" s="463"/>
      <c r="C1527" s="438" t="s">
        <v>2405</v>
      </c>
      <c r="D1527" s="464" t="s">
        <v>2527</v>
      </c>
      <c r="E1527" s="376" t="s">
        <v>411</v>
      </c>
      <c r="F1527" s="440" t="s">
        <v>692</v>
      </c>
      <c r="G1527" s="376" t="s">
        <v>693</v>
      </c>
      <c r="H1527" s="440" t="s">
        <v>694</v>
      </c>
      <c r="I1527" s="440" t="s">
        <v>695</v>
      </c>
      <c r="J1527" s="440" t="s">
        <v>696</v>
      </c>
    </row>
    <row r="1528" spans="1:10" ht="12.75">
      <c r="A1528" s="446" t="s">
        <v>699</v>
      </c>
      <c r="B1528" s="465" t="s">
        <v>409</v>
      </c>
      <c r="C1528" s="478" t="s">
        <v>2420</v>
      </c>
      <c r="D1528" s="469" t="s">
        <v>2528</v>
      </c>
      <c r="E1528" s="55" t="s">
        <v>15</v>
      </c>
      <c r="F1528" s="51">
        <v>1</v>
      </c>
      <c r="G1528" s="466">
        <v>65.2</v>
      </c>
      <c r="H1528" s="52">
        <f>F1528*G1528</f>
        <v>65.2</v>
      </c>
      <c r="I1528" s="53"/>
      <c r="J1528" s="54">
        <f>SUM(H1528:I1528)</f>
        <v>65.2</v>
      </c>
    </row>
    <row r="1529" spans="1:10" ht="12.75">
      <c r="A1529" s="446" t="s">
        <v>698</v>
      </c>
      <c r="B1529" s="465" t="s">
        <v>406</v>
      </c>
      <c r="C1529" s="441">
        <v>88248</v>
      </c>
      <c r="D1529" s="447" t="s">
        <v>739</v>
      </c>
      <c r="E1529" s="432" t="s">
        <v>740</v>
      </c>
      <c r="F1529" s="111">
        <v>0.13500000000000001</v>
      </c>
      <c r="G1529" s="605">
        <v>26.14</v>
      </c>
      <c r="H1529" s="52"/>
      <c r="I1529" s="56">
        <f>F1529*G1529</f>
        <v>3.5289000000000001</v>
      </c>
      <c r="J1529" s="54">
        <f t="shared" ref="J1529:J1530" si="110">SUM(H1529:I1529)</f>
        <v>3.5289000000000001</v>
      </c>
    </row>
    <row r="1530" spans="1:10" ht="12.75">
      <c r="A1530" s="446" t="s">
        <v>698</v>
      </c>
      <c r="B1530" s="465" t="s">
        <v>406</v>
      </c>
      <c r="C1530" s="441">
        <v>88267</v>
      </c>
      <c r="D1530" s="447" t="s">
        <v>741</v>
      </c>
      <c r="E1530" s="432" t="s">
        <v>740</v>
      </c>
      <c r="F1530" s="111">
        <v>0.13500000000000001</v>
      </c>
      <c r="G1530" s="605">
        <v>32.130000000000003</v>
      </c>
      <c r="H1530" s="55"/>
      <c r="I1530" s="56">
        <f>F1530*G1530</f>
        <v>4.3375500000000002</v>
      </c>
      <c r="J1530" s="54">
        <f t="shared" si="110"/>
        <v>4.3375500000000002</v>
      </c>
    </row>
    <row r="1531" spans="1:10" ht="12.75">
      <c r="A1531" s="449"/>
      <c r="B1531" s="441"/>
      <c r="C1531" s="476"/>
      <c r="D1531" s="451" t="s">
        <v>696</v>
      </c>
      <c r="E1531" s="470"/>
      <c r="F1531" s="61"/>
      <c r="G1531" s="58"/>
      <c r="H1531" s="59">
        <f>SUM(H1528:H1530)</f>
        <v>65.2</v>
      </c>
      <c r="I1531" s="59">
        <f>SUM(I1528:I1530)</f>
        <v>7.8664500000000004</v>
      </c>
      <c r="J1531" s="60">
        <f>SUM(H1531:I1531)</f>
        <v>73.066450000000003</v>
      </c>
    </row>
    <row r="1532" spans="1:10" ht="12.75">
      <c r="A1532" s="469" t="s">
        <v>1052</v>
      </c>
      <c r="B1532" s="1027" t="s">
        <v>1221</v>
      </c>
      <c r="C1532" s="1028"/>
      <c r="D1532" s="1028"/>
      <c r="E1532" s="457"/>
      <c r="F1532" s="457"/>
      <c r="G1532" s="457"/>
      <c r="H1532" s="457"/>
      <c r="I1532" s="457"/>
      <c r="J1532" s="458"/>
    </row>
    <row r="1534" spans="1:10" ht="12.75">
      <c r="A1534" s="463" t="s">
        <v>697</v>
      </c>
      <c r="B1534" s="463"/>
      <c r="C1534" s="438" t="s">
        <v>2406</v>
      </c>
      <c r="D1534" s="464" t="s">
        <v>1020</v>
      </c>
      <c r="E1534" s="376" t="s">
        <v>411</v>
      </c>
      <c r="F1534" s="440" t="s">
        <v>692</v>
      </c>
      <c r="G1534" s="376" t="s">
        <v>693</v>
      </c>
      <c r="H1534" s="440" t="s">
        <v>694</v>
      </c>
      <c r="I1534" s="440" t="s">
        <v>695</v>
      </c>
      <c r="J1534" s="440" t="s">
        <v>696</v>
      </c>
    </row>
    <row r="1535" spans="1:10" ht="12.75">
      <c r="A1535" s="446" t="s">
        <v>699</v>
      </c>
      <c r="B1535" s="465" t="s">
        <v>409</v>
      </c>
      <c r="C1535" s="478" t="s">
        <v>2420</v>
      </c>
      <c r="D1535" s="469" t="s">
        <v>1020</v>
      </c>
      <c r="E1535" s="55" t="s">
        <v>15</v>
      </c>
      <c r="F1535" s="51">
        <v>1</v>
      </c>
      <c r="G1535" s="466">
        <v>35</v>
      </c>
      <c r="H1535" s="52">
        <f>F1535*G1535</f>
        <v>35</v>
      </c>
      <c r="I1535" s="53"/>
      <c r="J1535" s="54">
        <f>SUM(H1535:I1535)</f>
        <v>35</v>
      </c>
    </row>
    <row r="1536" spans="1:10" ht="12.75">
      <c r="A1536" s="446" t="s">
        <v>698</v>
      </c>
      <c r="B1536" s="465" t="s">
        <v>406</v>
      </c>
      <c r="C1536" s="441">
        <v>88248</v>
      </c>
      <c r="D1536" s="447" t="s">
        <v>739</v>
      </c>
      <c r="E1536" s="432" t="s">
        <v>740</v>
      </c>
      <c r="F1536" s="111">
        <v>0.13500000000000001</v>
      </c>
      <c r="G1536" s="605">
        <v>26.14</v>
      </c>
      <c r="H1536" s="52"/>
      <c r="I1536" s="56">
        <f>F1536*G1536</f>
        <v>3.5289000000000001</v>
      </c>
      <c r="J1536" s="54">
        <f t="shared" ref="J1536:J1537" si="111">SUM(H1536:I1536)</f>
        <v>3.5289000000000001</v>
      </c>
    </row>
    <row r="1537" spans="1:10" ht="12.75">
      <c r="A1537" s="446" t="s">
        <v>698</v>
      </c>
      <c r="B1537" s="465" t="s">
        <v>406</v>
      </c>
      <c r="C1537" s="441">
        <v>88267</v>
      </c>
      <c r="D1537" s="447" t="s">
        <v>741</v>
      </c>
      <c r="E1537" s="432" t="s">
        <v>740</v>
      </c>
      <c r="F1537" s="111">
        <v>0.13500000000000001</v>
      </c>
      <c r="G1537" s="605">
        <v>32.130000000000003</v>
      </c>
      <c r="H1537" s="55"/>
      <c r="I1537" s="56">
        <f>F1537*G1537</f>
        <v>4.3375500000000002</v>
      </c>
      <c r="J1537" s="54">
        <f t="shared" si="111"/>
        <v>4.3375500000000002</v>
      </c>
    </row>
    <row r="1538" spans="1:10" ht="12.75">
      <c r="A1538" s="449"/>
      <c r="B1538" s="441"/>
      <c r="C1538" s="476"/>
      <c r="D1538" s="451" t="s">
        <v>696</v>
      </c>
      <c r="E1538" s="470"/>
      <c r="F1538" s="61"/>
      <c r="G1538" s="58"/>
      <c r="H1538" s="59">
        <f>SUM(H1535:H1537)</f>
        <v>35</v>
      </c>
      <c r="I1538" s="59">
        <f>SUM(I1535:I1537)</f>
        <v>7.8664500000000004</v>
      </c>
      <c r="J1538" s="60">
        <f>SUM(H1538:I1538)</f>
        <v>42.86645</v>
      </c>
    </row>
    <row r="1539" spans="1:10" ht="12.75">
      <c r="A1539" s="469" t="s">
        <v>1052</v>
      </c>
      <c r="B1539" s="1027" t="s">
        <v>1221</v>
      </c>
      <c r="C1539" s="1028"/>
      <c r="D1539" s="1028"/>
      <c r="E1539" s="457"/>
      <c r="F1539" s="457"/>
      <c r="G1539" s="457"/>
      <c r="H1539" s="457"/>
      <c r="I1539" s="457"/>
      <c r="J1539" s="458"/>
    </row>
    <row r="1541" spans="1:10" ht="25.5">
      <c r="A1541" s="463" t="s">
        <v>697</v>
      </c>
      <c r="B1541" s="463"/>
      <c r="C1541" s="438" t="s">
        <v>2407</v>
      </c>
      <c r="D1541" s="464" t="s">
        <v>1021</v>
      </c>
      <c r="E1541" s="376" t="s">
        <v>411</v>
      </c>
      <c r="F1541" s="440" t="s">
        <v>692</v>
      </c>
      <c r="G1541" s="376" t="s">
        <v>693</v>
      </c>
      <c r="H1541" s="440" t="s">
        <v>694</v>
      </c>
      <c r="I1541" s="440" t="s">
        <v>695</v>
      </c>
      <c r="J1541" s="440" t="s">
        <v>696</v>
      </c>
    </row>
    <row r="1542" spans="1:10" ht="12.75">
      <c r="A1542" s="446" t="s">
        <v>699</v>
      </c>
      <c r="B1542" s="465" t="s">
        <v>409</v>
      </c>
      <c r="C1542" s="478" t="s">
        <v>2420</v>
      </c>
      <c r="D1542" s="469" t="s">
        <v>1021</v>
      </c>
      <c r="E1542" s="55" t="s">
        <v>15</v>
      </c>
      <c r="F1542" s="51">
        <v>1</v>
      </c>
      <c r="G1542" s="466">
        <v>280</v>
      </c>
      <c r="H1542" s="52">
        <f>F1542*G1542</f>
        <v>280</v>
      </c>
      <c r="I1542" s="53"/>
      <c r="J1542" s="54">
        <f>SUM(H1542:I1542)</f>
        <v>280</v>
      </c>
    </row>
    <row r="1543" spans="1:10" ht="12.75">
      <c r="A1543" s="446" t="s">
        <v>698</v>
      </c>
      <c r="B1543" s="465" t="s">
        <v>406</v>
      </c>
      <c r="C1543" s="441">
        <v>88248</v>
      </c>
      <c r="D1543" s="447" t="s">
        <v>739</v>
      </c>
      <c r="E1543" s="432" t="s">
        <v>740</v>
      </c>
      <c r="F1543" s="111">
        <v>0.13500000000000001</v>
      </c>
      <c r="G1543" s="605">
        <v>26.14</v>
      </c>
      <c r="H1543" s="52"/>
      <c r="I1543" s="56">
        <f>F1543*G1543</f>
        <v>3.5289000000000001</v>
      </c>
      <c r="J1543" s="54">
        <f t="shared" ref="J1543:J1544" si="112">SUM(H1543:I1543)</f>
        <v>3.5289000000000001</v>
      </c>
    </row>
    <row r="1544" spans="1:10" ht="12.75">
      <c r="A1544" s="446" t="s">
        <v>698</v>
      </c>
      <c r="B1544" s="465" t="s">
        <v>406</v>
      </c>
      <c r="C1544" s="441">
        <v>88267</v>
      </c>
      <c r="D1544" s="447" t="s">
        <v>741</v>
      </c>
      <c r="E1544" s="432" t="s">
        <v>740</v>
      </c>
      <c r="F1544" s="111">
        <v>0.13500000000000001</v>
      </c>
      <c r="G1544" s="605">
        <v>32.130000000000003</v>
      </c>
      <c r="H1544" s="55"/>
      <c r="I1544" s="56">
        <f>F1544*G1544</f>
        <v>4.3375500000000002</v>
      </c>
      <c r="J1544" s="54">
        <f t="shared" si="112"/>
        <v>4.3375500000000002</v>
      </c>
    </row>
    <row r="1545" spans="1:10" ht="12.75">
      <c r="A1545" s="449"/>
      <c r="B1545" s="441"/>
      <c r="C1545" s="476"/>
      <c r="D1545" s="451" t="s">
        <v>696</v>
      </c>
      <c r="E1545" s="470"/>
      <c r="F1545" s="61"/>
      <c r="G1545" s="58"/>
      <c r="H1545" s="59">
        <f>SUM(H1542:H1544)</f>
        <v>280</v>
      </c>
      <c r="I1545" s="59">
        <f>SUM(I1542:I1544)</f>
        <v>7.8664500000000004</v>
      </c>
      <c r="J1545" s="60">
        <f>SUM(H1545:I1545)</f>
        <v>287.86644999999999</v>
      </c>
    </row>
    <row r="1546" spans="1:10" ht="12.75">
      <c r="A1546" s="469" t="s">
        <v>1052</v>
      </c>
      <c r="B1546" s="1027" t="s">
        <v>1221</v>
      </c>
      <c r="C1546" s="1028"/>
      <c r="D1546" s="1028"/>
      <c r="E1546" s="457"/>
      <c r="F1546" s="457"/>
      <c r="G1546" s="457"/>
      <c r="H1546" s="457"/>
      <c r="I1546" s="457"/>
      <c r="J1546" s="458"/>
    </row>
    <row r="1548" spans="1:10" ht="12.75">
      <c r="A1548" s="463" t="s">
        <v>697</v>
      </c>
      <c r="B1548" s="463"/>
      <c r="C1548" s="438" t="s">
        <v>2408</v>
      </c>
      <c r="D1548" s="464" t="s">
        <v>1022</v>
      </c>
      <c r="E1548" s="376" t="s">
        <v>411</v>
      </c>
      <c r="F1548" s="440" t="s">
        <v>692</v>
      </c>
      <c r="G1548" s="376" t="s">
        <v>693</v>
      </c>
      <c r="H1548" s="440" t="s">
        <v>694</v>
      </c>
      <c r="I1548" s="440" t="s">
        <v>695</v>
      </c>
      <c r="J1548" s="440" t="s">
        <v>696</v>
      </c>
    </row>
    <row r="1549" spans="1:10" ht="12.75">
      <c r="A1549" s="446" t="s">
        <v>699</v>
      </c>
      <c r="B1549" s="465" t="s">
        <v>409</v>
      </c>
      <c r="C1549" s="478" t="s">
        <v>2420</v>
      </c>
      <c r="D1549" s="469" t="s">
        <v>1022</v>
      </c>
      <c r="E1549" s="55" t="s">
        <v>15</v>
      </c>
      <c r="F1549" s="51">
        <v>1</v>
      </c>
      <c r="G1549" s="466">
        <v>11.2</v>
      </c>
      <c r="H1549" s="52">
        <f>F1549*G1549</f>
        <v>11.2</v>
      </c>
      <c r="I1549" s="53"/>
      <c r="J1549" s="54">
        <f>SUM(H1549:I1549)</f>
        <v>11.2</v>
      </c>
    </row>
    <row r="1550" spans="1:10" ht="12.75">
      <c r="A1550" s="446" t="s">
        <v>698</v>
      </c>
      <c r="B1550" s="465" t="s">
        <v>406</v>
      </c>
      <c r="C1550" s="441">
        <v>88248</v>
      </c>
      <c r="D1550" s="447" t="s">
        <v>739</v>
      </c>
      <c r="E1550" s="432" t="s">
        <v>740</v>
      </c>
      <c r="F1550" s="111">
        <v>0.13500000000000001</v>
      </c>
      <c r="G1550" s="605">
        <v>26.14</v>
      </c>
      <c r="H1550" s="52"/>
      <c r="I1550" s="56">
        <f>F1550*G1550</f>
        <v>3.5289000000000001</v>
      </c>
      <c r="J1550" s="54">
        <f t="shared" ref="J1550:J1551" si="113">SUM(H1550:I1550)</f>
        <v>3.5289000000000001</v>
      </c>
    </row>
    <row r="1551" spans="1:10" ht="12.75">
      <c r="A1551" s="446" t="s">
        <v>698</v>
      </c>
      <c r="B1551" s="465" t="s">
        <v>406</v>
      </c>
      <c r="C1551" s="441">
        <v>88267</v>
      </c>
      <c r="D1551" s="447" t="s">
        <v>741</v>
      </c>
      <c r="E1551" s="432" t="s">
        <v>740</v>
      </c>
      <c r="F1551" s="111">
        <v>0.13500000000000001</v>
      </c>
      <c r="G1551" s="605">
        <v>32.130000000000003</v>
      </c>
      <c r="H1551" s="55"/>
      <c r="I1551" s="56">
        <f>F1551*G1551</f>
        <v>4.3375500000000002</v>
      </c>
      <c r="J1551" s="54">
        <f t="shared" si="113"/>
        <v>4.3375500000000002</v>
      </c>
    </row>
    <row r="1552" spans="1:10" ht="12.75">
      <c r="A1552" s="449"/>
      <c r="B1552" s="441"/>
      <c r="C1552" s="476"/>
      <c r="D1552" s="451" t="s">
        <v>696</v>
      </c>
      <c r="E1552" s="470"/>
      <c r="F1552" s="61"/>
      <c r="G1552" s="58"/>
      <c r="H1552" s="59">
        <f>SUM(H1549:H1551)</f>
        <v>11.2</v>
      </c>
      <c r="I1552" s="59">
        <f>SUM(I1549:I1551)</f>
        <v>7.8664500000000004</v>
      </c>
      <c r="J1552" s="60">
        <f>SUM(H1552:I1552)</f>
        <v>19.06645</v>
      </c>
    </row>
    <row r="1553" spans="1:10" ht="12.75">
      <c r="A1553" s="469" t="s">
        <v>1052</v>
      </c>
      <c r="B1553" s="1027" t="s">
        <v>1221</v>
      </c>
      <c r="C1553" s="1028"/>
      <c r="D1553" s="1028"/>
      <c r="E1553" s="457"/>
      <c r="F1553" s="457"/>
      <c r="G1553" s="457"/>
      <c r="H1553" s="457"/>
      <c r="I1553" s="457"/>
      <c r="J1553" s="458"/>
    </row>
    <row r="1555" spans="1:10" ht="12.75">
      <c r="A1555" s="463" t="s">
        <v>697</v>
      </c>
      <c r="B1555" s="463"/>
      <c r="C1555" s="438" t="s">
        <v>2409</v>
      </c>
      <c r="D1555" s="464" t="s">
        <v>1133</v>
      </c>
      <c r="E1555" s="376" t="s">
        <v>411</v>
      </c>
      <c r="F1555" s="440" t="s">
        <v>692</v>
      </c>
      <c r="G1555" s="376" t="s">
        <v>693</v>
      </c>
      <c r="H1555" s="440" t="s">
        <v>694</v>
      </c>
      <c r="I1555" s="440" t="s">
        <v>695</v>
      </c>
      <c r="J1555" s="440" t="s">
        <v>696</v>
      </c>
    </row>
    <row r="1556" spans="1:10" ht="12.75">
      <c r="A1556" s="446" t="s">
        <v>699</v>
      </c>
      <c r="B1556" s="465" t="s">
        <v>409</v>
      </c>
      <c r="C1556" s="478" t="s">
        <v>2420</v>
      </c>
      <c r="D1556" s="469" t="s">
        <v>1133</v>
      </c>
      <c r="E1556" s="55" t="s">
        <v>15</v>
      </c>
      <c r="F1556" s="51">
        <v>1</v>
      </c>
      <c r="G1556" s="466">
        <v>38.4</v>
      </c>
      <c r="H1556" s="52">
        <f>F1556*G1556</f>
        <v>38.4</v>
      </c>
      <c r="I1556" s="53"/>
      <c r="J1556" s="54">
        <f t="shared" ref="J1556:J1558" si="114">SUM(H1556:I1556)</f>
        <v>38.4</v>
      </c>
    </row>
    <row r="1557" spans="1:10" ht="12.75">
      <c r="A1557" s="446" t="s">
        <v>698</v>
      </c>
      <c r="B1557" s="465" t="s">
        <v>406</v>
      </c>
      <c r="C1557" s="441">
        <v>88248</v>
      </c>
      <c r="D1557" s="447" t="s">
        <v>739</v>
      </c>
      <c r="E1557" s="432" t="s">
        <v>740</v>
      </c>
      <c r="F1557" s="111">
        <v>0.13500000000000001</v>
      </c>
      <c r="G1557" s="605">
        <v>26.14</v>
      </c>
      <c r="H1557" s="52"/>
      <c r="I1557" s="56">
        <f>F1557*G1557</f>
        <v>3.5289000000000001</v>
      </c>
      <c r="J1557" s="54">
        <f t="shared" si="114"/>
        <v>3.5289000000000001</v>
      </c>
    </row>
    <row r="1558" spans="1:10" ht="12.75">
      <c r="A1558" s="446" t="s">
        <v>698</v>
      </c>
      <c r="B1558" s="465" t="s">
        <v>406</v>
      </c>
      <c r="C1558" s="441">
        <v>88267</v>
      </c>
      <c r="D1558" s="447" t="s">
        <v>741</v>
      </c>
      <c r="E1558" s="432" t="s">
        <v>740</v>
      </c>
      <c r="F1558" s="111">
        <v>0.13500000000000001</v>
      </c>
      <c r="G1558" s="605">
        <v>32.130000000000003</v>
      </c>
      <c r="H1558" s="55"/>
      <c r="I1558" s="56">
        <f>F1558*G1558</f>
        <v>4.3375500000000002</v>
      </c>
      <c r="J1558" s="54">
        <f t="shared" si="114"/>
        <v>4.3375500000000002</v>
      </c>
    </row>
    <row r="1559" spans="1:10" ht="12.75">
      <c r="A1559" s="449"/>
      <c r="B1559" s="441"/>
      <c r="C1559" s="476"/>
      <c r="D1559" s="451" t="s">
        <v>696</v>
      </c>
      <c r="E1559" s="470"/>
      <c r="F1559" s="61"/>
      <c r="G1559" s="58"/>
      <c r="H1559" s="59">
        <f>SUM(H1556:H1558)</f>
        <v>38.4</v>
      </c>
      <c r="I1559" s="59">
        <f>SUM(I1556:I1558)</f>
        <v>7.8664500000000004</v>
      </c>
      <c r="J1559" s="60">
        <f>SUM(H1559:I1559)</f>
        <v>46.266449999999999</v>
      </c>
    </row>
    <row r="1560" spans="1:10" ht="12.75">
      <c r="A1560" s="469" t="s">
        <v>1052</v>
      </c>
      <c r="B1560" s="1027" t="s">
        <v>1221</v>
      </c>
      <c r="C1560" s="1028"/>
      <c r="D1560" s="1028"/>
      <c r="E1560" s="457"/>
      <c r="F1560" s="457"/>
      <c r="G1560" s="457"/>
      <c r="H1560" s="457"/>
      <c r="I1560" s="457"/>
      <c r="J1560" s="458"/>
    </row>
    <row r="1562" spans="1:10" ht="12.75">
      <c r="A1562" s="463" t="s">
        <v>697</v>
      </c>
      <c r="B1562" s="463"/>
      <c r="C1562" s="438" t="s">
        <v>2410</v>
      </c>
      <c r="D1562" s="464" t="s">
        <v>1023</v>
      </c>
      <c r="E1562" s="376" t="s">
        <v>411</v>
      </c>
      <c r="F1562" s="440" t="s">
        <v>692</v>
      </c>
      <c r="G1562" s="376" t="s">
        <v>693</v>
      </c>
      <c r="H1562" s="440" t="s">
        <v>694</v>
      </c>
      <c r="I1562" s="440" t="s">
        <v>695</v>
      </c>
      <c r="J1562" s="440" t="s">
        <v>696</v>
      </c>
    </row>
    <row r="1563" spans="1:10" ht="12.75">
      <c r="A1563" s="446" t="s">
        <v>699</v>
      </c>
      <c r="B1563" s="465" t="s">
        <v>409</v>
      </c>
      <c r="C1563" s="478" t="s">
        <v>2420</v>
      </c>
      <c r="D1563" s="469" t="s">
        <v>1023</v>
      </c>
      <c r="E1563" s="55" t="s">
        <v>15</v>
      </c>
      <c r="F1563" s="51">
        <v>1</v>
      </c>
      <c r="G1563" s="466">
        <v>4.5</v>
      </c>
      <c r="H1563" s="52">
        <f>F1563*G1563</f>
        <v>4.5</v>
      </c>
      <c r="I1563" s="53"/>
      <c r="J1563" s="54">
        <f t="shared" ref="J1563:J1565" si="115">SUM(H1563:I1563)</f>
        <v>4.5</v>
      </c>
    </row>
    <row r="1564" spans="1:10" ht="12.75">
      <c r="A1564" s="446" t="s">
        <v>698</v>
      </c>
      <c r="B1564" s="465" t="s">
        <v>406</v>
      </c>
      <c r="C1564" s="441">
        <v>88248</v>
      </c>
      <c r="D1564" s="447" t="s">
        <v>739</v>
      </c>
      <c r="E1564" s="432" t="s">
        <v>740</v>
      </c>
      <c r="F1564" s="111">
        <v>0.06</v>
      </c>
      <c r="G1564" s="605">
        <v>26.14</v>
      </c>
      <c r="H1564" s="52"/>
      <c r="I1564" s="56">
        <f>F1564*G1564</f>
        <v>1.5684</v>
      </c>
      <c r="J1564" s="54">
        <f t="shared" si="115"/>
        <v>1.5684</v>
      </c>
    </row>
    <row r="1565" spans="1:10" ht="12.75">
      <c r="A1565" s="446" t="s">
        <v>698</v>
      </c>
      <c r="B1565" s="465" t="s">
        <v>406</v>
      </c>
      <c r="C1565" s="441">
        <v>88267</v>
      </c>
      <c r="D1565" s="447" t="s">
        <v>741</v>
      </c>
      <c r="E1565" s="432" t="s">
        <v>740</v>
      </c>
      <c r="F1565" s="111">
        <v>0.06</v>
      </c>
      <c r="G1565" s="605">
        <v>32.130000000000003</v>
      </c>
      <c r="H1565" s="55"/>
      <c r="I1565" s="56">
        <f>F1565*G1565</f>
        <v>1.9278000000000002</v>
      </c>
      <c r="J1565" s="54">
        <f t="shared" si="115"/>
        <v>1.9278000000000002</v>
      </c>
    </row>
    <row r="1566" spans="1:10" ht="12.75">
      <c r="A1566" s="449"/>
      <c r="B1566" s="441"/>
      <c r="C1566" s="476"/>
      <c r="D1566" s="451" t="s">
        <v>696</v>
      </c>
      <c r="E1566" s="470"/>
      <c r="F1566" s="61"/>
      <c r="G1566" s="58"/>
      <c r="H1566" s="59">
        <f>SUM(H1563:H1565)</f>
        <v>4.5</v>
      </c>
      <c r="I1566" s="59">
        <f>SUM(I1563:I1565)</f>
        <v>3.4962</v>
      </c>
      <c r="J1566" s="60">
        <f>SUM(H1566:I1566)</f>
        <v>7.9962</v>
      </c>
    </row>
    <row r="1567" spans="1:10" ht="12.75">
      <c r="A1567" s="469" t="s">
        <v>1052</v>
      </c>
      <c r="B1567" s="1027" t="s">
        <v>1221</v>
      </c>
      <c r="C1567" s="1028"/>
      <c r="D1567" s="1028"/>
      <c r="E1567" s="457"/>
      <c r="F1567" s="457"/>
      <c r="G1567" s="457"/>
      <c r="H1567" s="457"/>
      <c r="I1567" s="457"/>
      <c r="J1567" s="458"/>
    </row>
    <row r="1569" spans="1:10" ht="38.25">
      <c r="A1569" s="463" t="s">
        <v>697</v>
      </c>
      <c r="B1569" s="463"/>
      <c r="C1569" s="438" t="s">
        <v>2411</v>
      </c>
      <c r="D1569" s="464" t="s">
        <v>1134</v>
      </c>
      <c r="E1569" s="376" t="s">
        <v>411</v>
      </c>
      <c r="F1569" s="440" t="s">
        <v>692</v>
      </c>
      <c r="G1569" s="376" t="s">
        <v>693</v>
      </c>
      <c r="H1569" s="440" t="s">
        <v>694</v>
      </c>
      <c r="I1569" s="440" t="s">
        <v>695</v>
      </c>
      <c r="J1569" s="440" t="s">
        <v>696</v>
      </c>
    </row>
    <row r="1570" spans="1:10" ht="12.75">
      <c r="A1570" s="446" t="s">
        <v>699</v>
      </c>
      <c r="B1570" s="465" t="s">
        <v>409</v>
      </c>
      <c r="C1570" s="478" t="s">
        <v>2420</v>
      </c>
      <c r="D1570" s="469" t="s">
        <v>1134</v>
      </c>
      <c r="E1570" s="55" t="s">
        <v>15</v>
      </c>
      <c r="F1570" s="51">
        <v>1</v>
      </c>
      <c r="G1570" s="466">
        <v>77</v>
      </c>
      <c r="H1570" s="52">
        <f>F1570*G1570</f>
        <v>77</v>
      </c>
      <c r="I1570" s="53"/>
      <c r="J1570" s="54">
        <f t="shared" ref="J1570:J1572" si="116">SUM(H1570:I1570)</f>
        <v>77</v>
      </c>
    </row>
    <row r="1571" spans="1:10" ht="12.75">
      <c r="A1571" s="446" t="s">
        <v>698</v>
      </c>
      <c r="B1571" s="465" t="s">
        <v>406</v>
      </c>
      <c r="C1571" s="441">
        <v>88248</v>
      </c>
      <c r="D1571" s="447" t="s">
        <v>739</v>
      </c>
      <c r="E1571" s="432" t="s">
        <v>740</v>
      </c>
      <c r="F1571" s="111">
        <v>0.13500000000000001</v>
      </c>
      <c r="G1571" s="605">
        <v>26.14</v>
      </c>
      <c r="H1571" s="52"/>
      <c r="I1571" s="56">
        <f>F1571*G1571</f>
        <v>3.5289000000000001</v>
      </c>
      <c r="J1571" s="54">
        <f t="shared" si="116"/>
        <v>3.5289000000000001</v>
      </c>
    </row>
    <row r="1572" spans="1:10" ht="12.75">
      <c r="A1572" s="446" t="s">
        <v>698</v>
      </c>
      <c r="B1572" s="465" t="s">
        <v>406</v>
      </c>
      <c r="C1572" s="441">
        <v>88267</v>
      </c>
      <c r="D1572" s="447" t="s">
        <v>741</v>
      </c>
      <c r="E1572" s="432" t="s">
        <v>740</v>
      </c>
      <c r="F1572" s="111">
        <v>0.13500000000000001</v>
      </c>
      <c r="G1572" s="605">
        <v>32.130000000000003</v>
      </c>
      <c r="H1572" s="55"/>
      <c r="I1572" s="56">
        <f>F1572*G1572</f>
        <v>4.3375500000000002</v>
      </c>
      <c r="J1572" s="54">
        <f t="shared" si="116"/>
        <v>4.3375500000000002</v>
      </c>
    </row>
    <row r="1573" spans="1:10" ht="12.75">
      <c r="A1573" s="449"/>
      <c r="B1573" s="441"/>
      <c r="C1573" s="476"/>
      <c r="D1573" s="451" t="s">
        <v>696</v>
      </c>
      <c r="E1573" s="470"/>
      <c r="F1573" s="61"/>
      <c r="G1573" s="58"/>
      <c r="H1573" s="59">
        <f>SUM(H1570:H1572)</f>
        <v>77</v>
      </c>
      <c r="I1573" s="59">
        <f>SUM(I1570:I1572)</f>
        <v>7.8664500000000004</v>
      </c>
      <c r="J1573" s="60">
        <f>SUM(H1573:I1573)</f>
        <v>84.86645</v>
      </c>
    </row>
    <row r="1574" spans="1:10" ht="12.75">
      <c r="A1574" s="469" t="s">
        <v>1052</v>
      </c>
      <c r="B1574" s="1027" t="s">
        <v>1221</v>
      </c>
      <c r="C1574" s="1028"/>
      <c r="D1574" s="1028"/>
      <c r="E1574" s="457"/>
      <c r="F1574" s="457"/>
      <c r="G1574" s="457"/>
      <c r="H1574" s="457"/>
      <c r="I1574" s="457"/>
      <c r="J1574" s="458"/>
    </row>
    <row r="1576" spans="1:10" ht="38.25">
      <c r="A1576" s="463" t="s">
        <v>697</v>
      </c>
      <c r="B1576" s="463"/>
      <c r="C1576" s="438" t="s">
        <v>2412</v>
      </c>
      <c r="D1576" s="464" t="s">
        <v>1135</v>
      </c>
      <c r="E1576" s="376" t="s">
        <v>411</v>
      </c>
      <c r="F1576" s="440" t="s">
        <v>692</v>
      </c>
      <c r="G1576" s="376" t="s">
        <v>693</v>
      </c>
      <c r="H1576" s="440" t="s">
        <v>694</v>
      </c>
      <c r="I1576" s="440" t="s">
        <v>695</v>
      </c>
      <c r="J1576" s="440" t="s">
        <v>696</v>
      </c>
    </row>
    <row r="1577" spans="1:10" ht="12.75">
      <c r="A1577" s="446" t="s">
        <v>699</v>
      </c>
      <c r="B1577" s="465" t="s">
        <v>409</v>
      </c>
      <c r="C1577" s="478" t="s">
        <v>2420</v>
      </c>
      <c r="D1577" s="469" t="s">
        <v>1135</v>
      </c>
      <c r="E1577" s="55" t="s">
        <v>15</v>
      </c>
      <c r="F1577" s="51">
        <v>1</v>
      </c>
      <c r="G1577" s="466">
        <v>10.9</v>
      </c>
      <c r="H1577" s="52">
        <f>F1577*G1577</f>
        <v>10.9</v>
      </c>
      <c r="I1577" s="53"/>
      <c r="J1577" s="54">
        <f t="shared" ref="J1577:J1579" si="117">SUM(H1577:I1577)</f>
        <v>10.9</v>
      </c>
    </row>
    <row r="1578" spans="1:10" ht="12.75">
      <c r="A1578" s="446" t="s">
        <v>698</v>
      </c>
      <c r="B1578" s="465" t="s">
        <v>406</v>
      </c>
      <c r="C1578" s="441">
        <v>88248</v>
      </c>
      <c r="D1578" s="447" t="s">
        <v>739</v>
      </c>
      <c r="E1578" s="432" t="s">
        <v>740</v>
      </c>
      <c r="F1578" s="111">
        <v>0.13500000000000001</v>
      </c>
      <c r="G1578" s="605">
        <v>26.14</v>
      </c>
      <c r="H1578" s="52"/>
      <c r="I1578" s="56">
        <f>F1578*G1578</f>
        <v>3.5289000000000001</v>
      </c>
      <c r="J1578" s="54">
        <f t="shared" si="117"/>
        <v>3.5289000000000001</v>
      </c>
    </row>
    <row r="1579" spans="1:10" ht="12.75">
      <c r="A1579" s="446" t="s">
        <v>698</v>
      </c>
      <c r="B1579" s="465" t="s">
        <v>406</v>
      </c>
      <c r="C1579" s="441">
        <v>88267</v>
      </c>
      <c r="D1579" s="447" t="s">
        <v>741</v>
      </c>
      <c r="E1579" s="432" t="s">
        <v>740</v>
      </c>
      <c r="F1579" s="111">
        <v>0.13500000000000001</v>
      </c>
      <c r="G1579" s="605">
        <v>32.130000000000003</v>
      </c>
      <c r="H1579" s="55"/>
      <c r="I1579" s="56">
        <f>F1579*G1579</f>
        <v>4.3375500000000002</v>
      </c>
      <c r="J1579" s="54">
        <f t="shared" si="117"/>
        <v>4.3375500000000002</v>
      </c>
    </row>
    <row r="1580" spans="1:10" ht="12.75">
      <c r="A1580" s="449"/>
      <c r="B1580" s="441"/>
      <c r="C1580" s="476"/>
      <c r="D1580" s="451" t="s">
        <v>696</v>
      </c>
      <c r="E1580" s="470"/>
      <c r="F1580" s="61"/>
      <c r="G1580" s="58"/>
      <c r="H1580" s="59">
        <f>SUM(H1577:H1579)</f>
        <v>10.9</v>
      </c>
      <c r="I1580" s="59">
        <f>SUM(I1577:I1579)</f>
        <v>7.8664500000000004</v>
      </c>
      <c r="J1580" s="60">
        <f>SUM(H1580:I1580)</f>
        <v>18.766449999999999</v>
      </c>
    </row>
    <row r="1581" spans="1:10" ht="12.75">
      <c r="A1581" s="469" t="s">
        <v>1052</v>
      </c>
      <c r="B1581" s="1027" t="s">
        <v>1221</v>
      </c>
      <c r="C1581" s="1028"/>
      <c r="D1581" s="1028"/>
      <c r="E1581" s="457"/>
      <c r="F1581" s="457"/>
      <c r="G1581" s="457"/>
      <c r="H1581" s="457"/>
      <c r="I1581" s="457"/>
      <c r="J1581" s="458"/>
    </row>
    <row r="1583" spans="1:10" ht="12.75">
      <c r="A1583" s="463" t="s">
        <v>697</v>
      </c>
      <c r="B1583" s="463"/>
      <c r="C1583" s="438" t="s">
        <v>2413</v>
      </c>
      <c r="D1583" s="464" t="s">
        <v>1018</v>
      </c>
      <c r="E1583" s="376" t="s">
        <v>411</v>
      </c>
      <c r="F1583" s="440" t="s">
        <v>692</v>
      </c>
      <c r="G1583" s="376" t="s">
        <v>693</v>
      </c>
      <c r="H1583" s="440" t="s">
        <v>694</v>
      </c>
      <c r="I1583" s="440" t="s">
        <v>695</v>
      </c>
      <c r="J1583" s="440" t="s">
        <v>696</v>
      </c>
    </row>
    <row r="1584" spans="1:10" ht="12.75">
      <c r="A1584" s="446" t="s">
        <v>699</v>
      </c>
      <c r="B1584" s="465" t="s">
        <v>409</v>
      </c>
      <c r="C1584" s="478" t="s">
        <v>2420</v>
      </c>
      <c r="D1584" s="469" t="s">
        <v>1018</v>
      </c>
      <c r="E1584" s="55" t="s">
        <v>15</v>
      </c>
      <c r="F1584" s="51">
        <v>1</v>
      </c>
      <c r="G1584" s="466">
        <v>272</v>
      </c>
      <c r="H1584" s="52">
        <f>F1584*G1584</f>
        <v>272</v>
      </c>
      <c r="I1584" s="53"/>
      <c r="J1584" s="54">
        <f t="shared" ref="J1584:J1586" si="118">SUM(H1584:I1584)</f>
        <v>272</v>
      </c>
    </row>
    <row r="1585" spans="1:10" ht="12.75">
      <c r="A1585" s="446" t="s">
        <v>698</v>
      </c>
      <c r="B1585" s="465" t="s">
        <v>406</v>
      </c>
      <c r="C1585" s="441">
        <v>88248</v>
      </c>
      <c r="D1585" s="447" t="s">
        <v>739</v>
      </c>
      <c r="E1585" s="432" t="s">
        <v>740</v>
      </c>
      <c r="F1585" s="111">
        <v>0.13500000000000001</v>
      </c>
      <c r="G1585" s="605">
        <v>26.14</v>
      </c>
      <c r="H1585" s="52"/>
      <c r="I1585" s="56">
        <f>F1585*G1585</f>
        <v>3.5289000000000001</v>
      </c>
      <c r="J1585" s="54">
        <f t="shared" si="118"/>
        <v>3.5289000000000001</v>
      </c>
    </row>
    <row r="1586" spans="1:10" ht="12.75">
      <c r="A1586" s="446" t="s">
        <v>698</v>
      </c>
      <c r="B1586" s="465" t="s">
        <v>406</v>
      </c>
      <c r="C1586" s="441">
        <v>88267</v>
      </c>
      <c r="D1586" s="447" t="s">
        <v>741</v>
      </c>
      <c r="E1586" s="432" t="s">
        <v>740</v>
      </c>
      <c r="F1586" s="111">
        <v>0.13500000000000001</v>
      </c>
      <c r="G1586" s="605">
        <v>32.130000000000003</v>
      </c>
      <c r="H1586" s="55"/>
      <c r="I1586" s="56">
        <f>F1586*G1586</f>
        <v>4.3375500000000002</v>
      </c>
      <c r="J1586" s="54">
        <f t="shared" si="118"/>
        <v>4.3375500000000002</v>
      </c>
    </row>
    <row r="1587" spans="1:10" ht="12.75">
      <c r="A1587" s="449"/>
      <c r="B1587" s="441"/>
      <c r="C1587" s="476"/>
      <c r="D1587" s="451" t="s">
        <v>696</v>
      </c>
      <c r="E1587" s="470"/>
      <c r="F1587" s="61"/>
      <c r="G1587" s="58"/>
      <c r="H1587" s="59">
        <f>SUM(H1584:H1586)</f>
        <v>272</v>
      </c>
      <c r="I1587" s="59">
        <f>SUM(I1584:I1586)</f>
        <v>7.8664500000000004</v>
      </c>
      <c r="J1587" s="60">
        <f>SUM(H1587:I1587)</f>
        <v>279.86644999999999</v>
      </c>
    </row>
    <row r="1588" spans="1:10" ht="12.75">
      <c r="A1588" s="469" t="s">
        <v>1052</v>
      </c>
      <c r="B1588" s="1027" t="s">
        <v>1221</v>
      </c>
      <c r="C1588" s="1028"/>
      <c r="D1588" s="1028"/>
      <c r="E1588" s="457"/>
      <c r="F1588" s="457"/>
      <c r="G1588" s="457"/>
      <c r="H1588" s="457"/>
      <c r="I1588" s="457"/>
      <c r="J1588" s="458"/>
    </row>
    <row r="1590" spans="1:10" ht="12.75">
      <c r="A1590" s="463" t="s">
        <v>697</v>
      </c>
      <c r="B1590" s="463"/>
      <c r="C1590" s="438" t="s">
        <v>2414</v>
      </c>
      <c r="D1590" s="464" t="s">
        <v>1019</v>
      </c>
      <c r="E1590" s="376" t="s">
        <v>411</v>
      </c>
      <c r="F1590" s="440" t="s">
        <v>692</v>
      </c>
      <c r="G1590" s="376" t="s">
        <v>693</v>
      </c>
      <c r="H1590" s="440" t="s">
        <v>694</v>
      </c>
      <c r="I1590" s="440" t="s">
        <v>695</v>
      </c>
      <c r="J1590" s="440" t="s">
        <v>696</v>
      </c>
    </row>
    <row r="1591" spans="1:10" ht="12.75">
      <c r="A1591" s="446" t="s">
        <v>699</v>
      </c>
      <c r="B1591" s="465" t="s">
        <v>409</v>
      </c>
      <c r="C1591" s="478" t="s">
        <v>2420</v>
      </c>
      <c r="D1591" s="469" t="s">
        <v>1019</v>
      </c>
      <c r="E1591" s="55" t="s">
        <v>15</v>
      </c>
      <c r="F1591" s="51">
        <v>1</v>
      </c>
      <c r="G1591" s="466">
        <v>182</v>
      </c>
      <c r="H1591" s="52">
        <f>F1591*G1591</f>
        <v>182</v>
      </c>
      <c r="I1591" s="53"/>
      <c r="J1591" s="54">
        <f t="shared" ref="J1591:J1593" si="119">SUM(H1591:I1591)</f>
        <v>182</v>
      </c>
    </row>
    <row r="1592" spans="1:10" ht="12.75">
      <c r="A1592" s="446" t="s">
        <v>698</v>
      </c>
      <c r="B1592" s="465" t="s">
        <v>406</v>
      </c>
      <c r="C1592" s="441">
        <v>88248</v>
      </c>
      <c r="D1592" s="447" t="s">
        <v>739</v>
      </c>
      <c r="E1592" s="432" t="s">
        <v>740</v>
      </c>
      <c r="F1592" s="111">
        <v>0.13500000000000001</v>
      </c>
      <c r="G1592" s="605">
        <v>26.14</v>
      </c>
      <c r="H1592" s="52"/>
      <c r="I1592" s="56">
        <f>F1592*G1592</f>
        <v>3.5289000000000001</v>
      </c>
      <c r="J1592" s="54">
        <f t="shared" si="119"/>
        <v>3.5289000000000001</v>
      </c>
    </row>
    <row r="1593" spans="1:10" ht="12.75">
      <c r="A1593" s="446" t="s">
        <v>698</v>
      </c>
      <c r="B1593" s="465" t="s">
        <v>406</v>
      </c>
      <c r="C1593" s="441">
        <v>88267</v>
      </c>
      <c r="D1593" s="447" t="s">
        <v>741</v>
      </c>
      <c r="E1593" s="432" t="s">
        <v>740</v>
      </c>
      <c r="F1593" s="111">
        <v>0.13500000000000001</v>
      </c>
      <c r="G1593" s="605">
        <v>32.130000000000003</v>
      </c>
      <c r="H1593" s="55"/>
      <c r="I1593" s="56">
        <f>F1593*G1593</f>
        <v>4.3375500000000002</v>
      </c>
      <c r="J1593" s="54">
        <f t="shared" si="119"/>
        <v>4.3375500000000002</v>
      </c>
    </row>
    <row r="1594" spans="1:10" ht="12.75">
      <c r="A1594" s="449"/>
      <c r="B1594" s="441"/>
      <c r="C1594" s="476"/>
      <c r="D1594" s="451" t="s">
        <v>696</v>
      </c>
      <c r="E1594" s="470"/>
      <c r="F1594" s="61"/>
      <c r="G1594" s="58"/>
      <c r="H1594" s="59">
        <f>SUM(H1591:H1593)</f>
        <v>182</v>
      </c>
      <c r="I1594" s="59">
        <f>SUM(I1591:I1593)</f>
        <v>7.8664500000000004</v>
      </c>
      <c r="J1594" s="60">
        <f>SUM(H1594:I1594)</f>
        <v>189.86644999999999</v>
      </c>
    </row>
    <row r="1595" spans="1:10" ht="12.75">
      <c r="A1595" s="469" t="s">
        <v>1052</v>
      </c>
      <c r="B1595" s="1027" t="s">
        <v>1221</v>
      </c>
      <c r="C1595" s="1028"/>
      <c r="D1595" s="1028"/>
      <c r="E1595" s="457"/>
      <c r="F1595" s="457"/>
      <c r="G1595" s="457"/>
      <c r="H1595" s="457"/>
      <c r="I1595" s="457"/>
      <c r="J1595" s="458"/>
    </row>
    <row r="1597" spans="1:10" ht="12.75">
      <c r="A1597" s="463" t="s">
        <v>697</v>
      </c>
      <c r="B1597" s="463"/>
      <c r="C1597" s="438" t="s">
        <v>2415</v>
      </c>
      <c r="D1597" s="464" t="s">
        <v>1599</v>
      </c>
      <c r="E1597" s="376" t="s">
        <v>411</v>
      </c>
      <c r="F1597" s="440" t="s">
        <v>692</v>
      </c>
      <c r="G1597" s="376" t="s">
        <v>693</v>
      </c>
      <c r="H1597" s="440" t="s">
        <v>694</v>
      </c>
      <c r="I1597" s="440" t="s">
        <v>695</v>
      </c>
      <c r="J1597" s="440" t="s">
        <v>696</v>
      </c>
    </row>
    <row r="1598" spans="1:10" ht="12.75">
      <c r="A1598" s="446" t="s">
        <v>699</v>
      </c>
      <c r="B1598" s="465" t="s">
        <v>409</v>
      </c>
      <c r="C1598" s="478" t="s">
        <v>2420</v>
      </c>
      <c r="D1598" s="469" t="s">
        <v>1599</v>
      </c>
      <c r="E1598" s="55" t="s">
        <v>15</v>
      </c>
      <c r="F1598" s="51">
        <v>1</v>
      </c>
      <c r="G1598" s="466">
        <v>180</v>
      </c>
      <c r="H1598" s="52">
        <f>F1598*G1598</f>
        <v>180</v>
      </c>
      <c r="I1598" s="53"/>
      <c r="J1598" s="54">
        <f t="shared" ref="J1598:J1600" si="120">SUM(H1598:I1598)</f>
        <v>180</v>
      </c>
    </row>
    <row r="1599" spans="1:10" ht="12.75">
      <c r="A1599" s="446" t="s">
        <v>698</v>
      </c>
      <c r="B1599" s="465" t="s">
        <v>406</v>
      </c>
      <c r="C1599" s="441">
        <v>88248</v>
      </c>
      <c r="D1599" s="447" t="s">
        <v>739</v>
      </c>
      <c r="E1599" s="432" t="s">
        <v>740</v>
      </c>
      <c r="F1599" s="111">
        <v>0.3</v>
      </c>
      <c r="G1599" s="605">
        <v>26.14</v>
      </c>
      <c r="H1599" s="52"/>
      <c r="I1599" s="56">
        <f>F1599*G1599</f>
        <v>7.8419999999999996</v>
      </c>
      <c r="J1599" s="54">
        <f t="shared" si="120"/>
        <v>7.8419999999999996</v>
      </c>
    </row>
    <row r="1600" spans="1:10" ht="12.75">
      <c r="A1600" s="446" t="s">
        <v>698</v>
      </c>
      <c r="B1600" s="465" t="s">
        <v>406</v>
      </c>
      <c r="C1600" s="441">
        <v>88267</v>
      </c>
      <c r="D1600" s="447" t="s">
        <v>741</v>
      </c>
      <c r="E1600" s="432" t="s">
        <v>740</v>
      </c>
      <c r="F1600" s="111">
        <v>0.3</v>
      </c>
      <c r="G1600" s="605">
        <v>32.130000000000003</v>
      </c>
      <c r="H1600" s="55"/>
      <c r="I1600" s="56">
        <f>F1600*G1600</f>
        <v>9.6390000000000011</v>
      </c>
      <c r="J1600" s="54">
        <f t="shared" si="120"/>
        <v>9.6390000000000011</v>
      </c>
    </row>
    <row r="1601" spans="1:10" ht="12.75">
      <c r="A1601" s="449"/>
      <c r="B1601" s="441"/>
      <c r="C1601" s="476"/>
      <c r="D1601" s="451" t="s">
        <v>696</v>
      </c>
      <c r="E1601" s="470"/>
      <c r="F1601" s="61"/>
      <c r="G1601" s="58"/>
      <c r="H1601" s="59">
        <f>SUM(H1598:H1600)</f>
        <v>180</v>
      </c>
      <c r="I1601" s="59">
        <f>SUM(I1598:I1600)</f>
        <v>17.481000000000002</v>
      </c>
      <c r="J1601" s="60">
        <f>SUM(H1601:I1601)</f>
        <v>197.48099999999999</v>
      </c>
    </row>
    <row r="1602" spans="1:10" ht="12.75">
      <c r="A1602" s="469" t="s">
        <v>1052</v>
      </c>
      <c r="B1602" s="1027" t="s">
        <v>1221</v>
      </c>
      <c r="C1602" s="1028"/>
      <c r="D1602" s="1028"/>
      <c r="E1602" s="457"/>
      <c r="F1602" s="457"/>
      <c r="G1602" s="457"/>
      <c r="H1602" s="457"/>
      <c r="I1602" s="457"/>
      <c r="J1602" s="458"/>
    </row>
    <row r="1604" spans="1:10" ht="12.75">
      <c r="A1604" s="463" t="s">
        <v>697</v>
      </c>
      <c r="B1604" s="463"/>
      <c r="C1604" s="438" t="s">
        <v>2416</v>
      </c>
      <c r="D1604" s="464" t="s">
        <v>1600</v>
      </c>
      <c r="E1604" s="376" t="s">
        <v>411</v>
      </c>
      <c r="F1604" s="440" t="s">
        <v>692</v>
      </c>
      <c r="G1604" s="376" t="s">
        <v>693</v>
      </c>
      <c r="H1604" s="440" t="s">
        <v>694</v>
      </c>
      <c r="I1604" s="440" t="s">
        <v>695</v>
      </c>
      <c r="J1604" s="440" t="s">
        <v>696</v>
      </c>
    </row>
    <row r="1605" spans="1:10" ht="12.75">
      <c r="A1605" s="446" t="s">
        <v>699</v>
      </c>
      <c r="B1605" s="465" t="s">
        <v>409</v>
      </c>
      <c r="C1605" s="478" t="s">
        <v>2420</v>
      </c>
      <c r="D1605" s="469" t="s">
        <v>1600</v>
      </c>
      <c r="E1605" s="55" t="s">
        <v>15</v>
      </c>
      <c r="F1605" s="51">
        <v>1</v>
      </c>
      <c r="G1605" s="466">
        <v>155</v>
      </c>
      <c r="H1605" s="52">
        <f>F1605*G1605</f>
        <v>155</v>
      </c>
      <c r="I1605" s="53"/>
      <c r="J1605" s="54">
        <f t="shared" ref="J1605:J1607" si="121">SUM(H1605:I1605)</f>
        <v>155</v>
      </c>
    </row>
    <row r="1606" spans="1:10" ht="12.75">
      <c r="A1606" s="446" t="s">
        <v>698</v>
      </c>
      <c r="B1606" s="465" t="s">
        <v>406</v>
      </c>
      <c r="C1606" s="441">
        <v>88248</v>
      </c>
      <c r="D1606" s="447" t="s">
        <v>739</v>
      </c>
      <c r="E1606" s="432" t="s">
        <v>740</v>
      </c>
      <c r="F1606" s="111">
        <v>0.3</v>
      </c>
      <c r="G1606" s="605">
        <v>26.14</v>
      </c>
      <c r="H1606" s="52"/>
      <c r="I1606" s="56">
        <f>F1606*G1606</f>
        <v>7.8419999999999996</v>
      </c>
      <c r="J1606" s="54">
        <f t="shared" si="121"/>
        <v>7.8419999999999996</v>
      </c>
    </row>
    <row r="1607" spans="1:10" ht="12.75">
      <c r="A1607" s="446" t="s">
        <v>698</v>
      </c>
      <c r="B1607" s="465" t="s">
        <v>406</v>
      </c>
      <c r="C1607" s="441">
        <v>88267</v>
      </c>
      <c r="D1607" s="447" t="s">
        <v>741</v>
      </c>
      <c r="E1607" s="432" t="s">
        <v>740</v>
      </c>
      <c r="F1607" s="111">
        <v>0.3</v>
      </c>
      <c r="G1607" s="605">
        <v>32.130000000000003</v>
      </c>
      <c r="H1607" s="55"/>
      <c r="I1607" s="56">
        <f>F1607*G1607</f>
        <v>9.6390000000000011</v>
      </c>
      <c r="J1607" s="54">
        <f t="shared" si="121"/>
        <v>9.6390000000000011</v>
      </c>
    </row>
    <row r="1608" spans="1:10" ht="12.75">
      <c r="A1608" s="449"/>
      <c r="B1608" s="441"/>
      <c r="C1608" s="476"/>
      <c r="D1608" s="451" t="s">
        <v>696</v>
      </c>
      <c r="E1608" s="470"/>
      <c r="F1608" s="61"/>
      <c r="G1608" s="58"/>
      <c r="H1608" s="59">
        <f>SUM(H1605:H1607)</f>
        <v>155</v>
      </c>
      <c r="I1608" s="59">
        <f>SUM(I1605:I1607)</f>
        <v>17.481000000000002</v>
      </c>
      <c r="J1608" s="60">
        <f>SUM(H1608:I1608)</f>
        <v>172.48099999999999</v>
      </c>
    </row>
    <row r="1609" spans="1:10" ht="12.75">
      <c r="A1609" s="469" t="s">
        <v>1052</v>
      </c>
      <c r="B1609" s="1027" t="s">
        <v>1221</v>
      </c>
      <c r="C1609" s="1028"/>
      <c r="D1609" s="1028"/>
      <c r="E1609" s="457"/>
      <c r="F1609" s="457"/>
      <c r="G1609" s="457"/>
      <c r="H1609" s="457"/>
      <c r="I1609" s="457"/>
      <c r="J1609" s="458"/>
    </row>
    <row r="1611" spans="1:10" ht="12.75">
      <c r="A1611" s="463" t="s">
        <v>697</v>
      </c>
      <c r="B1611" s="463"/>
      <c r="C1611" s="438" t="s">
        <v>2417</v>
      </c>
      <c r="D1611" s="464" t="s">
        <v>1601</v>
      </c>
      <c r="E1611" s="376" t="s">
        <v>411</v>
      </c>
      <c r="F1611" s="440" t="s">
        <v>692</v>
      </c>
      <c r="G1611" s="376" t="s">
        <v>693</v>
      </c>
      <c r="H1611" s="440" t="s">
        <v>694</v>
      </c>
      <c r="I1611" s="440" t="s">
        <v>695</v>
      </c>
      <c r="J1611" s="440" t="s">
        <v>696</v>
      </c>
    </row>
    <row r="1612" spans="1:10" ht="12.75">
      <c r="A1612" s="446" t="s">
        <v>699</v>
      </c>
      <c r="B1612" s="465" t="s">
        <v>409</v>
      </c>
      <c r="C1612" s="478" t="s">
        <v>2420</v>
      </c>
      <c r="D1612" s="469" t="s">
        <v>1601</v>
      </c>
      <c r="E1612" s="55" t="s">
        <v>15</v>
      </c>
      <c r="F1612" s="51">
        <v>1</v>
      </c>
      <c r="G1612" s="466">
        <v>132</v>
      </c>
      <c r="H1612" s="52">
        <f>F1612*G1612</f>
        <v>132</v>
      </c>
      <c r="I1612" s="53"/>
      <c r="J1612" s="54">
        <f t="shared" ref="J1612:J1614" si="122">SUM(H1612:I1612)</f>
        <v>132</v>
      </c>
    </row>
    <row r="1613" spans="1:10" ht="12.75">
      <c r="A1613" s="446" t="s">
        <v>698</v>
      </c>
      <c r="B1613" s="465" t="s">
        <v>406</v>
      </c>
      <c r="C1613" s="441">
        <v>88248</v>
      </c>
      <c r="D1613" s="447" t="s">
        <v>739</v>
      </c>
      <c r="E1613" s="432" t="s">
        <v>740</v>
      </c>
      <c r="F1613" s="111">
        <v>0.3</v>
      </c>
      <c r="G1613" s="605">
        <v>26.14</v>
      </c>
      <c r="H1613" s="52"/>
      <c r="I1613" s="56">
        <f>F1613*G1613</f>
        <v>7.8419999999999996</v>
      </c>
      <c r="J1613" s="54">
        <f t="shared" si="122"/>
        <v>7.8419999999999996</v>
      </c>
    </row>
    <row r="1614" spans="1:10" ht="12.75">
      <c r="A1614" s="446" t="s">
        <v>698</v>
      </c>
      <c r="B1614" s="465" t="s">
        <v>406</v>
      </c>
      <c r="C1614" s="441">
        <v>88267</v>
      </c>
      <c r="D1614" s="447" t="s">
        <v>741</v>
      </c>
      <c r="E1614" s="432" t="s">
        <v>740</v>
      </c>
      <c r="F1614" s="111">
        <v>0.3</v>
      </c>
      <c r="G1614" s="605">
        <v>32.130000000000003</v>
      </c>
      <c r="H1614" s="55"/>
      <c r="I1614" s="56">
        <f>F1614*G1614</f>
        <v>9.6390000000000011</v>
      </c>
      <c r="J1614" s="54">
        <f t="shared" si="122"/>
        <v>9.6390000000000011</v>
      </c>
    </row>
    <row r="1615" spans="1:10" ht="12.75">
      <c r="A1615" s="449"/>
      <c r="B1615" s="441"/>
      <c r="C1615" s="476"/>
      <c r="D1615" s="451" t="s">
        <v>696</v>
      </c>
      <c r="E1615" s="470"/>
      <c r="F1615" s="61"/>
      <c r="G1615" s="58"/>
      <c r="H1615" s="59">
        <f>SUM(H1612:H1614)</f>
        <v>132</v>
      </c>
      <c r="I1615" s="59">
        <f>SUM(I1612:I1614)</f>
        <v>17.481000000000002</v>
      </c>
      <c r="J1615" s="60">
        <f>SUM(H1615:I1615)</f>
        <v>149.48099999999999</v>
      </c>
    </row>
    <row r="1616" spans="1:10" ht="12.75">
      <c r="A1616" s="469" t="s">
        <v>1052</v>
      </c>
      <c r="B1616" s="1027" t="s">
        <v>1221</v>
      </c>
      <c r="C1616" s="1028"/>
      <c r="D1616" s="1028"/>
      <c r="E1616" s="457"/>
      <c r="F1616" s="457"/>
      <c r="G1616" s="457"/>
      <c r="H1616" s="457"/>
      <c r="I1616" s="457"/>
      <c r="J1616" s="458"/>
    </row>
    <row r="1618" spans="1:10" ht="12.75">
      <c r="A1618" s="463" t="s">
        <v>697</v>
      </c>
      <c r="B1618" s="463"/>
      <c r="C1618" s="438" t="s">
        <v>2418</v>
      </c>
      <c r="D1618" s="464" t="s">
        <v>1602</v>
      </c>
      <c r="E1618" s="376" t="s">
        <v>411</v>
      </c>
      <c r="F1618" s="440" t="s">
        <v>692</v>
      </c>
      <c r="G1618" s="376" t="s">
        <v>693</v>
      </c>
      <c r="H1618" s="440" t="s">
        <v>694</v>
      </c>
      <c r="I1618" s="440" t="s">
        <v>695</v>
      </c>
      <c r="J1618" s="440" t="s">
        <v>696</v>
      </c>
    </row>
    <row r="1619" spans="1:10" ht="12.75">
      <c r="A1619" s="446" t="s">
        <v>2321</v>
      </c>
      <c r="B1619" s="465" t="s">
        <v>409</v>
      </c>
      <c r="C1619" s="478" t="s">
        <v>2420</v>
      </c>
      <c r="D1619" s="469" t="s">
        <v>1602</v>
      </c>
      <c r="E1619" s="55" t="s">
        <v>15</v>
      </c>
      <c r="F1619" s="51">
        <v>1</v>
      </c>
      <c r="G1619" s="466">
        <v>168</v>
      </c>
      <c r="H1619" s="52">
        <f>F1619*G1619</f>
        <v>168</v>
      </c>
      <c r="I1619" s="53"/>
      <c r="J1619" s="54">
        <f t="shared" ref="J1619:J1621" si="123">SUM(H1619:I1619)</f>
        <v>168</v>
      </c>
    </row>
    <row r="1620" spans="1:10" ht="12.75">
      <c r="A1620" s="446" t="s">
        <v>698</v>
      </c>
      <c r="B1620" s="465" t="s">
        <v>406</v>
      </c>
      <c r="C1620" s="441">
        <v>88248</v>
      </c>
      <c r="D1620" s="447" t="s">
        <v>739</v>
      </c>
      <c r="E1620" s="432" t="s">
        <v>740</v>
      </c>
      <c r="F1620" s="111">
        <v>0.3</v>
      </c>
      <c r="G1620" s="605">
        <v>26.14</v>
      </c>
      <c r="H1620" s="52"/>
      <c r="I1620" s="56">
        <f>F1620*G1620</f>
        <v>7.8419999999999996</v>
      </c>
      <c r="J1620" s="54">
        <f t="shared" si="123"/>
        <v>7.8419999999999996</v>
      </c>
    </row>
    <row r="1621" spans="1:10" ht="12.75">
      <c r="A1621" s="446" t="s">
        <v>698</v>
      </c>
      <c r="B1621" s="465" t="s">
        <v>406</v>
      </c>
      <c r="C1621" s="441">
        <v>88267</v>
      </c>
      <c r="D1621" s="447" t="s">
        <v>741</v>
      </c>
      <c r="E1621" s="432" t="s">
        <v>740</v>
      </c>
      <c r="F1621" s="111">
        <v>0.3</v>
      </c>
      <c r="G1621" s="605">
        <v>32.130000000000003</v>
      </c>
      <c r="H1621" s="55"/>
      <c r="I1621" s="56">
        <f>F1621*G1621</f>
        <v>9.6390000000000011</v>
      </c>
      <c r="J1621" s="54">
        <f t="shared" si="123"/>
        <v>9.6390000000000011</v>
      </c>
    </row>
    <row r="1622" spans="1:10" ht="12.75">
      <c r="A1622" s="449"/>
      <c r="B1622" s="441"/>
      <c r="C1622" s="476"/>
      <c r="D1622" s="451" t="s">
        <v>696</v>
      </c>
      <c r="E1622" s="470"/>
      <c r="F1622" s="61"/>
      <c r="G1622" s="58"/>
      <c r="H1622" s="59">
        <f>SUM(H1619:H1621)</f>
        <v>168</v>
      </c>
      <c r="I1622" s="59">
        <f>SUM(I1619:I1621)</f>
        <v>17.481000000000002</v>
      </c>
      <c r="J1622" s="60">
        <f>SUM(H1622:I1622)</f>
        <v>185.48099999999999</v>
      </c>
    </row>
    <row r="1623" spans="1:10" ht="12.75">
      <c r="A1623" s="469" t="s">
        <v>1052</v>
      </c>
      <c r="B1623" s="1027" t="s">
        <v>1221</v>
      </c>
      <c r="C1623" s="1028"/>
      <c r="D1623" s="1028"/>
      <c r="E1623" s="457"/>
      <c r="F1623" s="457"/>
      <c r="G1623" s="457"/>
      <c r="H1623" s="457"/>
      <c r="I1623" s="457"/>
      <c r="J1623" s="458"/>
    </row>
    <row r="1625" spans="1:10" ht="25.5">
      <c r="A1625" s="463" t="s">
        <v>697</v>
      </c>
      <c r="B1625" s="440"/>
      <c r="C1625" s="438" t="s">
        <v>2419</v>
      </c>
      <c r="D1625" s="439" t="s">
        <v>1608</v>
      </c>
      <c r="E1625" s="376" t="s">
        <v>411</v>
      </c>
      <c r="F1625" s="440" t="s">
        <v>692</v>
      </c>
      <c r="G1625" s="376" t="s">
        <v>693</v>
      </c>
      <c r="H1625" s="440" t="s">
        <v>694</v>
      </c>
      <c r="I1625" s="440" t="s">
        <v>695</v>
      </c>
      <c r="J1625" s="440" t="s">
        <v>696</v>
      </c>
    </row>
    <row r="1626" spans="1:10" ht="25.5">
      <c r="A1626" s="446" t="s">
        <v>699</v>
      </c>
      <c r="B1626" s="465" t="s">
        <v>409</v>
      </c>
      <c r="C1626" s="478" t="s">
        <v>2420</v>
      </c>
      <c r="D1626" s="480" t="s">
        <v>1608</v>
      </c>
      <c r="E1626" s="411" t="s">
        <v>737</v>
      </c>
      <c r="F1626" s="62">
        <v>1</v>
      </c>
      <c r="G1626" s="112">
        <v>712</v>
      </c>
      <c r="H1626" s="52">
        <f>F1626*G1626</f>
        <v>712</v>
      </c>
      <c r="I1626" s="53"/>
      <c r="J1626" s="54">
        <f>F1626*G1626</f>
        <v>712</v>
      </c>
    </row>
    <row r="1627" spans="1:10" ht="12.75">
      <c r="A1627" s="446" t="s">
        <v>698</v>
      </c>
      <c r="B1627" s="465" t="s">
        <v>406</v>
      </c>
      <c r="C1627" s="441">
        <v>88266</v>
      </c>
      <c r="D1627" s="447" t="s">
        <v>1296</v>
      </c>
      <c r="E1627" s="432" t="s">
        <v>740</v>
      </c>
      <c r="F1627" s="64">
        <v>1</v>
      </c>
      <c r="G1627" s="483">
        <v>36.65</v>
      </c>
      <c r="H1627" s="55"/>
      <c r="I1627" s="56">
        <f>F1627*G1627</f>
        <v>36.65</v>
      </c>
      <c r="J1627" s="57">
        <f>F1627*G1627</f>
        <v>36.65</v>
      </c>
    </row>
    <row r="1628" spans="1:10" ht="12.75">
      <c r="A1628" s="446" t="s">
        <v>698</v>
      </c>
      <c r="B1628" s="465" t="s">
        <v>406</v>
      </c>
      <c r="C1628" s="441">
        <v>88264</v>
      </c>
      <c r="D1628" s="447" t="s">
        <v>747</v>
      </c>
      <c r="E1628" s="432" t="s">
        <v>740</v>
      </c>
      <c r="F1628" s="64">
        <v>1</v>
      </c>
      <c r="G1628" s="483">
        <v>32.99</v>
      </c>
      <c r="H1628" s="55"/>
      <c r="I1628" s="56">
        <f>F1628*G1628</f>
        <v>32.99</v>
      </c>
      <c r="J1628" s="57">
        <f>F1628*G1628</f>
        <v>32.99</v>
      </c>
    </row>
    <row r="1629" spans="1:10" ht="12.75">
      <c r="A1629" s="449"/>
      <c r="B1629" s="441"/>
      <c r="C1629" s="476"/>
      <c r="D1629" s="451" t="s">
        <v>696</v>
      </c>
      <c r="E1629" s="470"/>
      <c r="F1629" s="61"/>
      <c r="G1629" s="58"/>
      <c r="H1629" s="59">
        <f>SUM(H1626:H1628)</f>
        <v>712</v>
      </c>
      <c r="I1629" s="59">
        <f>SUM(I1626:I1628)</f>
        <v>69.64</v>
      </c>
      <c r="J1629" s="60">
        <f>SUM(J1626:J1628)</f>
        <v>781.64</v>
      </c>
    </row>
    <row r="1631" spans="1:10" ht="25.5">
      <c r="A1631" s="463" t="s">
        <v>697</v>
      </c>
      <c r="B1631" s="440"/>
      <c r="C1631" s="438" t="s">
        <v>2421</v>
      </c>
      <c r="D1631" s="439" t="s">
        <v>2275</v>
      </c>
      <c r="E1631" s="376" t="s">
        <v>411</v>
      </c>
      <c r="F1631" s="440" t="s">
        <v>692</v>
      </c>
      <c r="G1631" s="376" t="s">
        <v>693</v>
      </c>
      <c r="H1631" s="440" t="s">
        <v>694</v>
      </c>
      <c r="I1631" s="440" t="s">
        <v>695</v>
      </c>
      <c r="J1631" s="440" t="s">
        <v>696</v>
      </c>
    </row>
    <row r="1632" spans="1:10" ht="25.5">
      <c r="A1632" s="446" t="s">
        <v>699</v>
      </c>
      <c r="B1632" s="465" t="s">
        <v>409</v>
      </c>
      <c r="C1632" s="478" t="s">
        <v>2420</v>
      </c>
      <c r="D1632" s="480" t="s">
        <v>2275</v>
      </c>
      <c r="E1632" s="411" t="s">
        <v>737</v>
      </c>
      <c r="F1632" s="62">
        <v>1</v>
      </c>
      <c r="G1632" s="112">
        <v>2836.46</v>
      </c>
      <c r="H1632" s="52">
        <f>F1632*G1632</f>
        <v>2836.46</v>
      </c>
      <c r="I1632" s="53"/>
      <c r="J1632" s="54">
        <f>F1632*G1632</f>
        <v>2836.46</v>
      </c>
    </row>
    <row r="1633" spans="1:10" ht="12.75">
      <c r="A1633" s="446" t="s">
        <v>698</v>
      </c>
      <c r="B1633" s="465" t="s">
        <v>406</v>
      </c>
      <c r="C1633" s="441">
        <v>88266</v>
      </c>
      <c r="D1633" s="447" t="s">
        <v>1296</v>
      </c>
      <c r="E1633" s="432" t="s">
        <v>740</v>
      </c>
      <c r="F1633" s="64">
        <v>1</v>
      </c>
      <c r="G1633" s="483">
        <v>36.65</v>
      </c>
      <c r="H1633" s="55"/>
      <c r="I1633" s="56">
        <f>F1633*G1633</f>
        <v>36.65</v>
      </c>
      <c r="J1633" s="57">
        <f>F1633*G1633</f>
        <v>36.65</v>
      </c>
    </row>
    <row r="1634" spans="1:10" ht="12.75">
      <c r="A1634" s="446" t="s">
        <v>698</v>
      </c>
      <c r="B1634" s="465" t="s">
        <v>406</v>
      </c>
      <c r="C1634" s="441">
        <v>88264</v>
      </c>
      <c r="D1634" s="447" t="s">
        <v>747</v>
      </c>
      <c r="E1634" s="432" t="s">
        <v>740</v>
      </c>
      <c r="F1634" s="64">
        <v>1</v>
      </c>
      <c r="G1634" s="483">
        <v>32.99</v>
      </c>
      <c r="H1634" s="55"/>
      <c r="I1634" s="56">
        <f>F1634*G1634</f>
        <v>32.99</v>
      </c>
      <c r="J1634" s="57">
        <f>F1634*G1634</f>
        <v>32.99</v>
      </c>
    </row>
    <row r="1635" spans="1:10" ht="12.75">
      <c r="A1635" s="449"/>
      <c r="B1635" s="441"/>
      <c r="C1635" s="476"/>
      <c r="D1635" s="451" t="s">
        <v>696</v>
      </c>
      <c r="E1635" s="470"/>
      <c r="F1635" s="61"/>
      <c r="G1635" s="58"/>
      <c r="H1635" s="59">
        <f>SUM(H1632:H1634)</f>
        <v>2836.46</v>
      </c>
      <c r="I1635" s="59">
        <f>SUM(I1632:I1634)</f>
        <v>69.64</v>
      </c>
      <c r="J1635" s="60">
        <f>SUM(J1632:J1634)</f>
        <v>2906.1</v>
      </c>
    </row>
    <row r="1637" spans="1:10" ht="25.5">
      <c r="A1637" s="463" t="s">
        <v>697</v>
      </c>
      <c r="B1637" s="440"/>
      <c r="C1637" s="438" t="s">
        <v>2422</v>
      </c>
      <c r="D1637" s="439" t="s">
        <v>1610</v>
      </c>
      <c r="E1637" s="376" t="s">
        <v>411</v>
      </c>
      <c r="F1637" s="440" t="s">
        <v>692</v>
      </c>
      <c r="G1637" s="376" t="s">
        <v>693</v>
      </c>
      <c r="H1637" s="440" t="s">
        <v>694</v>
      </c>
      <c r="I1637" s="440" t="s">
        <v>695</v>
      </c>
      <c r="J1637" s="440" t="s">
        <v>696</v>
      </c>
    </row>
    <row r="1638" spans="1:10" ht="25.5">
      <c r="A1638" s="446" t="s">
        <v>699</v>
      </c>
      <c r="B1638" s="465" t="s">
        <v>409</v>
      </c>
      <c r="C1638" s="478" t="s">
        <v>2420</v>
      </c>
      <c r="D1638" s="480" t="s">
        <v>1610</v>
      </c>
      <c r="E1638" s="411" t="s">
        <v>737</v>
      </c>
      <c r="F1638" s="62">
        <v>1</v>
      </c>
      <c r="G1638" s="112">
        <v>110</v>
      </c>
      <c r="H1638" s="52">
        <f>F1638*G1638</f>
        <v>110</v>
      </c>
      <c r="I1638" s="53"/>
      <c r="J1638" s="54">
        <f>F1638*G1638</f>
        <v>110</v>
      </c>
    </row>
    <row r="1639" spans="1:10" ht="12.75">
      <c r="A1639" s="446" t="s">
        <v>698</v>
      </c>
      <c r="B1639" s="465" t="s">
        <v>406</v>
      </c>
      <c r="C1639" s="441">
        <v>88266</v>
      </c>
      <c r="D1639" s="447" t="s">
        <v>1296</v>
      </c>
      <c r="E1639" s="432" t="s">
        <v>740</v>
      </c>
      <c r="F1639" s="64">
        <v>1</v>
      </c>
      <c r="G1639" s="483">
        <v>36.65</v>
      </c>
      <c r="H1639" s="55"/>
      <c r="I1639" s="56">
        <f>F1639*G1639</f>
        <v>36.65</v>
      </c>
      <c r="J1639" s="57">
        <f>F1639*G1639</f>
        <v>36.65</v>
      </c>
    </row>
    <row r="1640" spans="1:10" ht="12.75">
      <c r="A1640" s="446" t="s">
        <v>698</v>
      </c>
      <c r="B1640" s="465" t="s">
        <v>406</v>
      </c>
      <c r="C1640" s="441">
        <v>88264</v>
      </c>
      <c r="D1640" s="447" t="s">
        <v>747</v>
      </c>
      <c r="E1640" s="432" t="s">
        <v>740</v>
      </c>
      <c r="F1640" s="64">
        <v>1</v>
      </c>
      <c r="G1640" s="483">
        <v>32.99</v>
      </c>
      <c r="H1640" s="55"/>
      <c r="I1640" s="56">
        <f>F1640*G1640</f>
        <v>32.99</v>
      </c>
      <c r="J1640" s="57">
        <f>F1640*G1640</f>
        <v>32.99</v>
      </c>
    </row>
    <row r="1641" spans="1:10" ht="12.75">
      <c r="A1641" s="449"/>
      <c r="B1641" s="441"/>
      <c r="C1641" s="476"/>
      <c r="D1641" s="451" t="s">
        <v>696</v>
      </c>
      <c r="E1641" s="470"/>
      <c r="F1641" s="61"/>
      <c r="G1641" s="58"/>
      <c r="H1641" s="59">
        <f>SUM(H1638:H1640)</f>
        <v>110</v>
      </c>
      <c r="I1641" s="59">
        <f>SUM(I1638:I1640)</f>
        <v>69.64</v>
      </c>
      <c r="J1641" s="60">
        <f>SUM(J1638:J1640)</f>
        <v>179.64000000000001</v>
      </c>
    </row>
    <row r="1643" spans="1:10" ht="25.5">
      <c r="A1643" s="463" t="s">
        <v>697</v>
      </c>
      <c r="B1643" s="440"/>
      <c r="C1643" s="438" t="s">
        <v>2423</v>
      </c>
      <c r="D1643" s="439" t="s">
        <v>1611</v>
      </c>
      <c r="E1643" s="376" t="s">
        <v>411</v>
      </c>
      <c r="F1643" s="440" t="s">
        <v>692</v>
      </c>
      <c r="G1643" s="376" t="s">
        <v>693</v>
      </c>
      <c r="H1643" s="440" t="s">
        <v>694</v>
      </c>
      <c r="I1643" s="440" t="s">
        <v>695</v>
      </c>
      <c r="J1643" s="440" t="s">
        <v>696</v>
      </c>
    </row>
    <row r="1644" spans="1:10" ht="25.5">
      <c r="A1644" s="446" t="s">
        <v>699</v>
      </c>
      <c r="B1644" s="465" t="s">
        <v>409</v>
      </c>
      <c r="C1644" s="478" t="s">
        <v>2420</v>
      </c>
      <c r="D1644" s="480" t="s">
        <v>1611</v>
      </c>
      <c r="E1644" s="411" t="s">
        <v>737</v>
      </c>
      <c r="F1644" s="62">
        <v>1</v>
      </c>
      <c r="G1644" s="112">
        <v>131.91</v>
      </c>
      <c r="H1644" s="52">
        <f>F1644*G1644</f>
        <v>131.91</v>
      </c>
      <c r="I1644" s="53"/>
      <c r="J1644" s="54">
        <f>F1644*G1644</f>
        <v>131.91</v>
      </c>
    </row>
    <row r="1645" spans="1:10" ht="12.75">
      <c r="A1645" s="446" t="s">
        <v>698</v>
      </c>
      <c r="B1645" s="465" t="s">
        <v>406</v>
      </c>
      <c r="C1645" s="441">
        <v>88266</v>
      </c>
      <c r="D1645" s="447" t="s">
        <v>1296</v>
      </c>
      <c r="E1645" s="432" t="s">
        <v>740</v>
      </c>
      <c r="F1645" s="64">
        <v>1</v>
      </c>
      <c r="G1645" s="483">
        <v>36.65</v>
      </c>
      <c r="H1645" s="55"/>
      <c r="I1645" s="56">
        <f>F1645*G1645</f>
        <v>36.65</v>
      </c>
      <c r="J1645" s="57">
        <f>F1645*G1645</f>
        <v>36.65</v>
      </c>
    </row>
    <row r="1646" spans="1:10" ht="12.75">
      <c r="A1646" s="446" t="s">
        <v>698</v>
      </c>
      <c r="B1646" s="465" t="s">
        <v>406</v>
      </c>
      <c r="C1646" s="441">
        <v>88264</v>
      </c>
      <c r="D1646" s="447" t="s">
        <v>747</v>
      </c>
      <c r="E1646" s="432" t="s">
        <v>740</v>
      </c>
      <c r="F1646" s="64">
        <v>1</v>
      </c>
      <c r="G1646" s="483">
        <v>32.99</v>
      </c>
      <c r="H1646" s="55"/>
      <c r="I1646" s="56">
        <f>F1646*G1646</f>
        <v>32.99</v>
      </c>
      <c r="J1646" s="57">
        <f>F1646*G1646</f>
        <v>32.99</v>
      </c>
    </row>
    <row r="1647" spans="1:10" ht="12.75">
      <c r="A1647" s="449"/>
      <c r="B1647" s="441"/>
      <c r="C1647" s="476"/>
      <c r="D1647" s="451" t="s">
        <v>696</v>
      </c>
      <c r="E1647" s="470"/>
      <c r="F1647" s="61"/>
      <c r="G1647" s="58"/>
      <c r="H1647" s="59">
        <f>SUM(H1644:H1646)</f>
        <v>131.91</v>
      </c>
      <c r="I1647" s="59">
        <f>SUM(I1644:I1646)</f>
        <v>69.64</v>
      </c>
      <c r="J1647" s="60">
        <f>SUM(J1644:J1646)</f>
        <v>201.55</v>
      </c>
    </row>
    <row r="1649" spans="1:10" ht="25.5">
      <c r="A1649" s="463" t="s">
        <v>697</v>
      </c>
      <c r="B1649" s="440"/>
      <c r="C1649" s="438" t="s">
        <v>2424</v>
      </c>
      <c r="D1649" s="439" t="s">
        <v>2278</v>
      </c>
      <c r="E1649" s="376" t="s">
        <v>411</v>
      </c>
      <c r="F1649" s="440" t="s">
        <v>692</v>
      </c>
      <c r="G1649" s="376" t="s">
        <v>693</v>
      </c>
      <c r="H1649" s="440" t="s">
        <v>694</v>
      </c>
      <c r="I1649" s="440" t="s">
        <v>695</v>
      </c>
      <c r="J1649" s="440" t="s">
        <v>696</v>
      </c>
    </row>
    <row r="1650" spans="1:10" ht="25.5">
      <c r="A1650" s="446" t="s">
        <v>699</v>
      </c>
      <c r="B1650" s="465" t="s">
        <v>409</v>
      </c>
      <c r="C1650" s="478" t="s">
        <v>2420</v>
      </c>
      <c r="D1650" s="480" t="s">
        <v>2278</v>
      </c>
      <c r="E1650" s="411" t="s">
        <v>737</v>
      </c>
      <c r="F1650" s="62">
        <v>1</v>
      </c>
      <c r="G1650" s="112">
        <v>3696.76</v>
      </c>
      <c r="H1650" s="52">
        <f>F1650*G1650</f>
        <v>3696.76</v>
      </c>
      <c r="I1650" s="53"/>
      <c r="J1650" s="54">
        <f>F1650*G1650</f>
        <v>3696.76</v>
      </c>
    </row>
    <row r="1651" spans="1:10" ht="12.75">
      <c r="A1651" s="446" t="s">
        <v>698</v>
      </c>
      <c r="B1651" s="465" t="s">
        <v>406</v>
      </c>
      <c r="C1651" s="441">
        <v>88266</v>
      </c>
      <c r="D1651" s="447" t="s">
        <v>1296</v>
      </c>
      <c r="E1651" s="432" t="s">
        <v>740</v>
      </c>
      <c r="F1651" s="64">
        <v>1</v>
      </c>
      <c r="G1651" s="483">
        <v>36.65</v>
      </c>
      <c r="H1651" s="55"/>
      <c r="I1651" s="56">
        <f>F1651*G1651</f>
        <v>36.65</v>
      </c>
      <c r="J1651" s="57">
        <f>F1651*G1651</f>
        <v>36.65</v>
      </c>
    </row>
    <row r="1652" spans="1:10" ht="12.75">
      <c r="A1652" s="446" t="s">
        <v>698</v>
      </c>
      <c r="B1652" s="465" t="s">
        <v>406</v>
      </c>
      <c r="C1652" s="441">
        <v>88264</v>
      </c>
      <c r="D1652" s="447" t="s">
        <v>747</v>
      </c>
      <c r="E1652" s="432" t="s">
        <v>740</v>
      </c>
      <c r="F1652" s="64">
        <v>1</v>
      </c>
      <c r="G1652" s="483">
        <v>32.99</v>
      </c>
      <c r="H1652" s="55"/>
      <c r="I1652" s="56">
        <f>F1652*G1652</f>
        <v>32.99</v>
      </c>
      <c r="J1652" s="57">
        <f>F1652*G1652</f>
        <v>32.99</v>
      </c>
    </row>
    <row r="1653" spans="1:10" ht="12.75">
      <c r="A1653" s="449"/>
      <c r="B1653" s="441"/>
      <c r="C1653" s="476"/>
      <c r="D1653" s="451" t="s">
        <v>696</v>
      </c>
      <c r="E1653" s="470"/>
      <c r="F1653" s="61"/>
      <c r="G1653" s="58"/>
      <c r="H1653" s="59">
        <f>SUM(H1650:H1652)</f>
        <v>3696.76</v>
      </c>
      <c r="I1653" s="59">
        <f>SUM(I1650:I1652)</f>
        <v>69.64</v>
      </c>
      <c r="J1653" s="60">
        <f>SUM(J1650:J1652)</f>
        <v>3766.4</v>
      </c>
    </row>
    <row r="1655" spans="1:10" ht="25.5">
      <c r="A1655" s="463" t="s">
        <v>697</v>
      </c>
      <c r="B1655" s="440"/>
      <c r="C1655" s="438" t="s">
        <v>2425</v>
      </c>
      <c r="D1655" s="439" t="s">
        <v>1612</v>
      </c>
      <c r="E1655" s="376" t="s">
        <v>411</v>
      </c>
      <c r="F1655" s="440" t="s">
        <v>692</v>
      </c>
      <c r="G1655" s="376" t="s">
        <v>693</v>
      </c>
      <c r="H1655" s="440" t="s">
        <v>694</v>
      </c>
      <c r="I1655" s="440" t="s">
        <v>695</v>
      </c>
      <c r="J1655" s="440" t="s">
        <v>696</v>
      </c>
    </row>
    <row r="1656" spans="1:10" ht="25.5">
      <c r="A1656" s="446" t="s">
        <v>699</v>
      </c>
      <c r="B1656" s="465" t="s">
        <v>409</v>
      </c>
      <c r="C1656" s="478" t="s">
        <v>2420</v>
      </c>
      <c r="D1656" s="480" t="s">
        <v>1612</v>
      </c>
      <c r="E1656" s="411" t="s">
        <v>737</v>
      </c>
      <c r="F1656" s="62">
        <v>1</v>
      </c>
      <c r="G1656" s="112">
        <v>1280</v>
      </c>
      <c r="H1656" s="52">
        <f>F1656*G1656</f>
        <v>1280</v>
      </c>
      <c r="I1656" s="53"/>
      <c r="J1656" s="54">
        <f>F1656*G1656</f>
        <v>1280</v>
      </c>
    </row>
    <row r="1657" spans="1:10" ht="12.75">
      <c r="A1657" s="446" t="s">
        <v>698</v>
      </c>
      <c r="B1657" s="465" t="s">
        <v>406</v>
      </c>
      <c r="C1657" s="441">
        <v>88266</v>
      </c>
      <c r="D1657" s="447" t="s">
        <v>1296</v>
      </c>
      <c r="E1657" s="432" t="s">
        <v>740</v>
      </c>
      <c r="F1657" s="64">
        <v>1</v>
      </c>
      <c r="G1657" s="483">
        <v>36.65</v>
      </c>
      <c r="H1657" s="55"/>
      <c r="I1657" s="56">
        <f>F1657*G1657</f>
        <v>36.65</v>
      </c>
      <c r="J1657" s="57">
        <f>F1657*G1657</f>
        <v>36.65</v>
      </c>
    </row>
    <row r="1658" spans="1:10" ht="12.75">
      <c r="A1658" s="446" t="s">
        <v>698</v>
      </c>
      <c r="B1658" s="465" t="s">
        <v>406</v>
      </c>
      <c r="C1658" s="441">
        <v>88264</v>
      </c>
      <c r="D1658" s="447" t="s">
        <v>747</v>
      </c>
      <c r="E1658" s="432" t="s">
        <v>740</v>
      </c>
      <c r="F1658" s="64">
        <v>1</v>
      </c>
      <c r="G1658" s="483">
        <v>32.99</v>
      </c>
      <c r="H1658" s="55"/>
      <c r="I1658" s="56">
        <f>F1658*G1658</f>
        <v>32.99</v>
      </c>
      <c r="J1658" s="57">
        <f>F1658*G1658</f>
        <v>32.99</v>
      </c>
    </row>
    <row r="1659" spans="1:10" ht="12.75">
      <c r="A1659" s="449"/>
      <c r="B1659" s="441"/>
      <c r="C1659" s="476"/>
      <c r="D1659" s="451" t="s">
        <v>696</v>
      </c>
      <c r="E1659" s="470"/>
      <c r="F1659" s="61"/>
      <c r="G1659" s="58"/>
      <c r="H1659" s="59">
        <f>SUM(H1656:H1658)</f>
        <v>1280</v>
      </c>
      <c r="I1659" s="59">
        <f>SUM(I1656:I1658)</f>
        <v>69.64</v>
      </c>
      <c r="J1659" s="60">
        <f>SUM(J1656:J1658)</f>
        <v>1349.64</v>
      </c>
    </row>
    <row r="1661" spans="1:10" ht="25.5">
      <c r="A1661" s="463" t="s">
        <v>697</v>
      </c>
      <c r="B1661" s="440"/>
      <c r="C1661" s="438" t="s">
        <v>2426</v>
      </c>
      <c r="D1661" s="439" t="s">
        <v>1613</v>
      </c>
      <c r="E1661" s="376" t="s">
        <v>411</v>
      </c>
      <c r="F1661" s="440" t="s">
        <v>692</v>
      </c>
      <c r="G1661" s="376" t="s">
        <v>693</v>
      </c>
      <c r="H1661" s="440" t="s">
        <v>694</v>
      </c>
      <c r="I1661" s="440" t="s">
        <v>695</v>
      </c>
      <c r="J1661" s="440" t="s">
        <v>696</v>
      </c>
    </row>
    <row r="1662" spans="1:10" ht="25.5">
      <c r="A1662" s="446" t="s">
        <v>819</v>
      </c>
      <c r="B1662" s="465" t="s">
        <v>409</v>
      </c>
      <c r="C1662" s="478">
        <v>2542</v>
      </c>
      <c r="D1662" s="480" t="s">
        <v>1613</v>
      </c>
      <c r="E1662" s="411" t="s">
        <v>737</v>
      </c>
      <c r="F1662" s="62">
        <v>1</v>
      </c>
      <c r="G1662" s="112">
        <v>1910.45</v>
      </c>
      <c r="H1662" s="52">
        <f>F1662*G1662</f>
        <v>1910.45</v>
      </c>
      <c r="I1662" s="53"/>
      <c r="J1662" s="54">
        <f>F1662*G1662</f>
        <v>1910.45</v>
      </c>
    </row>
    <row r="1663" spans="1:10" ht="12.75">
      <c r="A1663" s="446" t="s">
        <v>698</v>
      </c>
      <c r="B1663" s="465" t="s">
        <v>406</v>
      </c>
      <c r="C1663" s="441">
        <v>88266</v>
      </c>
      <c r="D1663" s="447" t="s">
        <v>1296</v>
      </c>
      <c r="E1663" s="432" t="s">
        <v>740</v>
      </c>
      <c r="F1663" s="64">
        <v>1</v>
      </c>
      <c r="G1663" s="483">
        <v>36.65</v>
      </c>
      <c r="H1663" s="55"/>
      <c r="I1663" s="56">
        <f>F1663*G1663</f>
        <v>36.65</v>
      </c>
      <c r="J1663" s="57">
        <f>F1663*G1663</f>
        <v>36.65</v>
      </c>
    </row>
    <row r="1664" spans="1:10" ht="12.75">
      <c r="A1664" s="446" t="s">
        <v>698</v>
      </c>
      <c r="B1664" s="465" t="s">
        <v>406</v>
      </c>
      <c r="C1664" s="441">
        <v>88264</v>
      </c>
      <c r="D1664" s="447" t="s">
        <v>747</v>
      </c>
      <c r="E1664" s="432" t="s">
        <v>740</v>
      </c>
      <c r="F1664" s="64">
        <v>1</v>
      </c>
      <c r="G1664" s="483">
        <v>32.99</v>
      </c>
      <c r="H1664" s="55"/>
      <c r="I1664" s="56">
        <f>F1664*G1664</f>
        <v>32.99</v>
      </c>
      <c r="J1664" s="57">
        <f>F1664*G1664</f>
        <v>32.99</v>
      </c>
    </row>
    <row r="1665" spans="1:10" ht="12.75">
      <c r="A1665" s="449"/>
      <c r="B1665" s="441"/>
      <c r="C1665" s="476"/>
      <c r="D1665" s="451" t="s">
        <v>696</v>
      </c>
      <c r="E1665" s="470"/>
      <c r="F1665" s="61"/>
      <c r="G1665" s="58"/>
      <c r="H1665" s="59">
        <f>SUM(H1662:H1664)</f>
        <v>1910.45</v>
      </c>
      <c r="I1665" s="59">
        <f>SUM(I1662:I1664)</f>
        <v>69.64</v>
      </c>
      <c r="J1665" s="60">
        <f>SUM(J1662:J1664)</f>
        <v>1980.0900000000001</v>
      </c>
    </row>
    <row r="1667" spans="1:10" ht="25.5">
      <c r="A1667" s="463" t="s">
        <v>697</v>
      </c>
      <c r="B1667" s="440"/>
      <c r="C1667" s="438" t="s">
        <v>2427</v>
      </c>
      <c r="D1667" s="439" t="s">
        <v>1609</v>
      </c>
      <c r="E1667" s="376" t="s">
        <v>411</v>
      </c>
      <c r="F1667" s="440" t="s">
        <v>692</v>
      </c>
      <c r="G1667" s="376" t="s">
        <v>693</v>
      </c>
      <c r="H1667" s="440" t="s">
        <v>694</v>
      </c>
      <c r="I1667" s="440" t="s">
        <v>695</v>
      </c>
      <c r="J1667" s="440" t="s">
        <v>696</v>
      </c>
    </row>
    <row r="1668" spans="1:10" ht="25.5">
      <c r="A1668" s="446" t="s">
        <v>699</v>
      </c>
      <c r="B1668" s="465" t="s">
        <v>409</v>
      </c>
      <c r="C1668" s="478" t="s">
        <v>2420</v>
      </c>
      <c r="D1668" s="480" t="s">
        <v>1609</v>
      </c>
      <c r="E1668" s="411" t="s">
        <v>737</v>
      </c>
      <c r="F1668" s="62">
        <v>1</v>
      </c>
      <c r="G1668" s="112">
        <v>410</v>
      </c>
      <c r="H1668" s="52">
        <f>F1668*G1668</f>
        <v>410</v>
      </c>
      <c r="I1668" s="53"/>
      <c r="J1668" s="54">
        <f>F1668*G1668</f>
        <v>410</v>
      </c>
    </row>
    <row r="1669" spans="1:10" ht="12.75">
      <c r="A1669" s="446" t="s">
        <v>698</v>
      </c>
      <c r="B1669" s="465" t="s">
        <v>406</v>
      </c>
      <c r="C1669" s="441">
        <v>88266</v>
      </c>
      <c r="D1669" s="447" t="s">
        <v>1296</v>
      </c>
      <c r="E1669" s="432" t="s">
        <v>740</v>
      </c>
      <c r="F1669" s="64">
        <v>0.65</v>
      </c>
      <c r="G1669" s="483">
        <v>36.65</v>
      </c>
      <c r="H1669" s="55"/>
      <c r="I1669" s="56">
        <f>F1669*G1669</f>
        <v>23.822500000000002</v>
      </c>
      <c r="J1669" s="57">
        <f>F1669*G1669</f>
        <v>23.822500000000002</v>
      </c>
    </row>
    <row r="1670" spans="1:10" ht="12.75">
      <c r="A1670" s="446" t="s">
        <v>698</v>
      </c>
      <c r="B1670" s="465" t="s">
        <v>406</v>
      </c>
      <c r="C1670" s="441">
        <v>88264</v>
      </c>
      <c r="D1670" s="447" t="s">
        <v>747</v>
      </c>
      <c r="E1670" s="432" t="s">
        <v>740</v>
      </c>
      <c r="F1670" s="64">
        <v>0.65</v>
      </c>
      <c r="G1670" s="483">
        <v>32.99</v>
      </c>
      <c r="H1670" s="55"/>
      <c r="I1670" s="56">
        <f>F1670*G1670</f>
        <v>21.443500000000004</v>
      </c>
      <c r="J1670" s="57">
        <f>F1670*G1670</f>
        <v>21.443500000000004</v>
      </c>
    </row>
    <row r="1671" spans="1:10" ht="12.75">
      <c r="A1671" s="449"/>
      <c r="B1671" s="441"/>
      <c r="C1671" s="476"/>
      <c r="D1671" s="451" t="s">
        <v>696</v>
      </c>
      <c r="E1671" s="470"/>
      <c r="F1671" s="61"/>
      <c r="G1671" s="58"/>
      <c r="H1671" s="59">
        <f>SUM(H1668:H1670)</f>
        <v>410</v>
      </c>
      <c r="I1671" s="59">
        <f>SUM(I1668:I1670)</f>
        <v>45.266000000000005</v>
      </c>
      <c r="J1671" s="60">
        <f>SUM(J1668:J1670)</f>
        <v>455.26600000000002</v>
      </c>
    </row>
    <row r="1673" spans="1:10" ht="25.5">
      <c r="A1673" s="463" t="s">
        <v>697</v>
      </c>
      <c r="B1673" s="440"/>
      <c r="C1673" s="438" t="s">
        <v>2428</v>
      </c>
      <c r="D1673" s="439" t="s">
        <v>1607</v>
      </c>
      <c r="E1673" s="376" t="s">
        <v>411</v>
      </c>
      <c r="F1673" s="440" t="s">
        <v>692</v>
      </c>
      <c r="G1673" s="376" t="s">
        <v>693</v>
      </c>
      <c r="H1673" s="440" t="s">
        <v>694</v>
      </c>
      <c r="I1673" s="440" t="s">
        <v>695</v>
      </c>
      <c r="J1673" s="440" t="s">
        <v>696</v>
      </c>
    </row>
    <row r="1674" spans="1:10" ht="25.5">
      <c r="A1674" s="446" t="s">
        <v>699</v>
      </c>
      <c r="B1674" s="465" t="s">
        <v>409</v>
      </c>
      <c r="C1674" s="478" t="s">
        <v>2420</v>
      </c>
      <c r="D1674" s="480" t="s">
        <v>1607</v>
      </c>
      <c r="E1674" s="411" t="s">
        <v>737</v>
      </c>
      <c r="F1674" s="62">
        <v>1</v>
      </c>
      <c r="G1674" s="112">
        <v>1050</v>
      </c>
      <c r="H1674" s="52">
        <f>F1674*G1674</f>
        <v>1050</v>
      </c>
      <c r="I1674" s="53"/>
      <c r="J1674" s="54">
        <f>F1674*G1674</f>
        <v>1050</v>
      </c>
    </row>
    <row r="1675" spans="1:10" ht="12.75">
      <c r="A1675" s="446" t="s">
        <v>698</v>
      </c>
      <c r="B1675" s="465" t="s">
        <v>406</v>
      </c>
      <c r="C1675" s="441">
        <v>88266</v>
      </c>
      <c r="D1675" s="447" t="s">
        <v>1296</v>
      </c>
      <c r="E1675" s="432" t="s">
        <v>740</v>
      </c>
      <c r="F1675" s="64">
        <v>0.65</v>
      </c>
      <c r="G1675" s="483">
        <v>36.65</v>
      </c>
      <c r="H1675" s="55"/>
      <c r="I1675" s="56">
        <f>F1675*G1675</f>
        <v>23.822500000000002</v>
      </c>
      <c r="J1675" s="57">
        <f>F1675*G1675</f>
        <v>23.822500000000002</v>
      </c>
    </row>
    <row r="1676" spans="1:10" ht="12.75">
      <c r="A1676" s="446" t="s">
        <v>698</v>
      </c>
      <c r="B1676" s="465" t="s">
        <v>406</v>
      </c>
      <c r="C1676" s="441">
        <v>88264</v>
      </c>
      <c r="D1676" s="447" t="s">
        <v>747</v>
      </c>
      <c r="E1676" s="432" t="s">
        <v>740</v>
      </c>
      <c r="F1676" s="64">
        <v>0.65</v>
      </c>
      <c r="G1676" s="483">
        <v>32.99</v>
      </c>
      <c r="H1676" s="55"/>
      <c r="I1676" s="56">
        <f>F1676*G1676</f>
        <v>21.443500000000004</v>
      </c>
      <c r="J1676" s="57">
        <f>F1676*G1676</f>
        <v>21.443500000000004</v>
      </c>
    </row>
    <row r="1677" spans="1:10" ht="12.75">
      <c r="A1677" s="449"/>
      <c r="B1677" s="441"/>
      <c r="C1677" s="476"/>
      <c r="D1677" s="451" t="s">
        <v>696</v>
      </c>
      <c r="E1677" s="470"/>
      <c r="F1677" s="61"/>
      <c r="G1677" s="58"/>
      <c r="H1677" s="59">
        <f>SUM(H1674:H1676)</f>
        <v>1050</v>
      </c>
      <c r="I1677" s="59">
        <f>SUM(I1674:I1676)</f>
        <v>45.266000000000005</v>
      </c>
      <c r="J1677" s="60">
        <f>SUM(J1674:J1676)</f>
        <v>1095.2660000000001</v>
      </c>
    </row>
    <row r="1679" spans="1:10" ht="12.75">
      <c r="A1679" s="463" t="s">
        <v>697</v>
      </c>
      <c r="B1679" s="440"/>
      <c r="C1679" s="438" t="s">
        <v>2429</v>
      </c>
      <c r="D1679" s="498" t="s">
        <v>876</v>
      </c>
      <c r="E1679" s="440" t="s">
        <v>411</v>
      </c>
      <c r="F1679" s="417" t="s">
        <v>692</v>
      </c>
      <c r="G1679" s="417" t="s">
        <v>693</v>
      </c>
      <c r="H1679" s="417" t="s">
        <v>694</v>
      </c>
      <c r="I1679" s="417" t="s">
        <v>695</v>
      </c>
      <c r="J1679" s="424" t="s">
        <v>696</v>
      </c>
    </row>
    <row r="1680" spans="1:10" ht="12.75">
      <c r="A1680" s="446" t="s">
        <v>699</v>
      </c>
      <c r="B1680" s="465" t="s">
        <v>409</v>
      </c>
      <c r="C1680" s="478" t="s">
        <v>2420</v>
      </c>
      <c r="D1680" s="579" t="s">
        <v>876</v>
      </c>
      <c r="E1680" s="411" t="s">
        <v>737</v>
      </c>
      <c r="F1680" s="62">
        <v>1</v>
      </c>
      <c r="G1680" s="503">
        <v>1.5</v>
      </c>
      <c r="H1680" s="52">
        <f>F1680*G1680</f>
        <v>1.5</v>
      </c>
      <c r="I1680" s="53"/>
      <c r="J1680" s="54">
        <f>F1680*G1680</f>
        <v>1.5</v>
      </c>
    </row>
    <row r="1681" spans="1:10" ht="12.75">
      <c r="A1681" s="446" t="s">
        <v>698</v>
      </c>
      <c r="B1681" s="432" t="s">
        <v>406</v>
      </c>
      <c r="C1681" s="441">
        <v>88247</v>
      </c>
      <c r="D1681" s="447" t="s">
        <v>746</v>
      </c>
      <c r="E1681" s="432" t="s">
        <v>740</v>
      </c>
      <c r="F1681" s="64">
        <v>0.04</v>
      </c>
      <c r="G1681" s="503">
        <v>26.96</v>
      </c>
      <c r="H1681" s="55"/>
      <c r="I1681" s="56">
        <f>F1681*G1681</f>
        <v>1.0784</v>
      </c>
      <c r="J1681" s="57">
        <f>F1681*G1681</f>
        <v>1.0784</v>
      </c>
    </row>
    <row r="1682" spans="1:10" ht="12.75">
      <c r="A1682" s="449"/>
      <c r="B1682" s="469"/>
      <c r="C1682" s="450"/>
      <c r="D1682" s="451" t="s">
        <v>696</v>
      </c>
      <c r="E1682" s="470"/>
      <c r="F1682" s="61"/>
      <c r="G1682" s="58"/>
      <c r="H1682" s="59">
        <f>SUM(H1680:H1681)</f>
        <v>1.5</v>
      </c>
      <c r="I1682" s="59">
        <f>SUM(I1680:I1681)</f>
        <v>1.0784</v>
      </c>
      <c r="J1682" s="60">
        <f>SUM(J1680:J1681)</f>
        <v>2.5784000000000002</v>
      </c>
    </row>
    <row r="1683" spans="1:10" ht="12.75">
      <c r="A1683" s="469" t="s">
        <v>1052</v>
      </c>
      <c r="B1683" s="1027" t="s">
        <v>2344</v>
      </c>
      <c r="C1683" s="1028"/>
      <c r="D1683" s="1028"/>
      <c r="E1683" s="457"/>
      <c r="F1683" s="457"/>
      <c r="G1683" s="457"/>
      <c r="H1683" s="457"/>
      <c r="I1683" s="457"/>
      <c r="J1683" s="458"/>
    </row>
    <row r="1685" spans="1:10" ht="12.75">
      <c r="A1685" s="463" t="s">
        <v>697</v>
      </c>
      <c r="B1685" s="440"/>
      <c r="C1685" s="438" t="s">
        <v>2430</v>
      </c>
      <c r="D1685" s="498" t="s">
        <v>125</v>
      </c>
      <c r="E1685" s="440" t="s">
        <v>411</v>
      </c>
      <c r="F1685" s="417" t="s">
        <v>692</v>
      </c>
      <c r="G1685" s="417" t="s">
        <v>693</v>
      </c>
      <c r="H1685" s="417" t="s">
        <v>694</v>
      </c>
      <c r="I1685" s="417" t="s">
        <v>695</v>
      </c>
      <c r="J1685" s="424" t="s">
        <v>696</v>
      </c>
    </row>
    <row r="1686" spans="1:10" ht="12.75">
      <c r="A1686" s="446" t="s">
        <v>699</v>
      </c>
      <c r="B1686" s="465" t="s">
        <v>409</v>
      </c>
      <c r="C1686" s="478" t="s">
        <v>2420</v>
      </c>
      <c r="D1686" s="579" t="s">
        <v>125</v>
      </c>
      <c r="E1686" s="411" t="s">
        <v>737</v>
      </c>
      <c r="F1686" s="62">
        <v>1</v>
      </c>
      <c r="G1686" s="503">
        <v>2.5</v>
      </c>
      <c r="H1686" s="52">
        <f>F1686*G1686</f>
        <v>2.5</v>
      </c>
      <c r="I1686" s="53"/>
      <c r="J1686" s="54">
        <f>F1686*G1686</f>
        <v>2.5</v>
      </c>
    </row>
    <row r="1687" spans="1:10" ht="12.75">
      <c r="A1687" s="446" t="s">
        <v>698</v>
      </c>
      <c r="B1687" s="432" t="s">
        <v>406</v>
      </c>
      <c r="C1687" s="441">
        <v>88247</v>
      </c>
      <c r="D1687" s="447" t="s">
        <v>746</v>
      </c>
      <c r="E1687" s="432" t="s">
        <v>740</v>
      </c>
      <c r="F1687" s="64">
        <v>0.06</v>
      </c>
      <c r="G1687" s="503">
        <v>26.96</v>
      </c>
      <c r="H1687" s="55"/>
      <c r="I1687" s="56">
        <f>F1687*G1687</f>
        <v>1.6175999999999999</v>
      </c>
      <c r="J1687" s="57">
        <f>F1687*G1687</f>
        <v>1.6175999999999999</v>
      </c>
    </row>
    <row r="1688" spans="1:10" ht="12.75">
      <c r="A1688" s="449"/>
      <c r="B1688" s="469"/>
      <c r="C1688" s="450"/>
      <c r="D1688" s="451" t="s">
        <v>696</v>
      </c>
      <c r="E1688" s="470"/>
      <c r="F1688" s="61"/>
      <c r="G1688" s="58"/>
      <c r="H1688" s="59">
        <f>SUM(H1686:H1687)</f>
        <v>2.5</v>
      </c>
      <c r="I1688" s="59">
        <f>SUM(I1686:I1687)</f>
        <v>1.6175999999999999</v>
      </c>
      <c r="J1688" s="60">
        <f>SUM(J1686:J1687)</f>
        <v>4.1175999999999995</v>
      </c>
    </row>
    <row r="1689" spans="1:10" ht="12.75">
      <c r="A1689" s="469" t="s">
        <v>1052</v>
      </c>
      <c r="B1689" s="1027" t="s">
        <v>2344</v>
      </c>
      <c r="C1689" s="1028"/>
      <c r="D1689" s="1028"/>
      <c r="E1689" s="457"/>
      <c r="F1689" s="457"/>
      <c r="G1689" s="457"/>
      <c r="H1689" s="457"/>
      <c r="I1689" s="457"/>
      <c r="J1689" s="458"/>
    </row>
    <row r="1691" spans="1:10" ht="12.75">
      <c r="A1691" s="463" t="s">
        <v>697</v>
      </c>
      <c r="B1691" s="440"/>
      <c r="C1691" s="438" t="s">
        <v>2431</v>
      </c>
      <c r="D1691" s="439" t="s">
        <v>126</v>
      </c>
      <c r="E1691" s="376" t="s">
        <v>411</v>
      </c>
      <c r="F1691" s="440" t="s">
        <v>692</v>
      </c>
      <c r="G1691" s="376" t="s">
        <v>693</v>
      </c>
      <c r="H1691" s="440" t="s">
        <v>694</v>
      </c>
      <c r="I1691" s="440" t="s">
        <v>695</v>
      </c>
      <c r="J1691" s="440" t="s">
        <v>696</v>
      </c>
    </row>
    <row r="1692" spans="1:10" ht="12.75">
      <c r="A1692" s="446" t="s">
        <v>699</v>
      </c>
      <c r="B1692" s="465" t="s">
        <v>409</v>
      </c>
      <c r="C1692" s="478" t="s">
        <v>2420</v>
      </c>
      <c r="D1692" s="480" t="s">
        <v>126</v>
      </c>
      <c r="E1692" s="411" t="s">
        <v>737</v>
      </c>
      <c r="F1692" s="62">
        <v>1</v>
      </c>
      <c r="G1692" s="112">
        <v>5.5</v>
      </c>
      <c r="H1692" s="52">
        <f>F1692*G1692</f>
        <v>5.5</v>
      </c>
      <c r="I1692" s="53"/>
      <c r="J1692" s="54">
        <f>F1692*G1692</f>
        <v>5.5</v>
      </c>
    </row>
    <row r="1693" spans="1:10" ht="12.75">
      <c r="A1693" s="446" t="s">
        <v>698</v>
      </c>
      <c r="B1693" s="465" t="s">
        <v>406</v>
      </c>
      <c r="C1693" s="441">
        <v>88266</v>
      </c>
      <c r="D1693" s="447" t="s">
        <v>1296</v>
      </c>
      <c r="E1693" s="432" t="s">
        <v>740</v>
      </c>
      <c r="F1693" s="64">
        <v>0.05</v>
      </c>
      <c r="G1693" s="483">
        <v>36.65</v>
      </c>
      <c r="H1693" s="55"/>
      <c r="I1693" s="56">
        <f>F1693*G1693</f>
        <v>1.8325</v>
      </c>
      <c r="J1693" s="57">
        <f>F1693*G1693</f>
        <v>1.8325</v>
      </c>
    </row>
    <row r="1694" spans="1:10" ht="12.75">
      <c r="A1694" s="446" t="s">
        <v>698</v>
      </c>
      <c r="B1694" s="465" t="s">
        <v>406</v>
      </c>
      <c r="C1694" s="441">
        <v>88264</v>
      </c>
      <c r="D1694" s="447" t="s">
        <v>747</v>
      </c>
      <c r="E1694" s="432" t="s">
        <v>740</v>
      </c>
      <c r="F1694" s="64">
        <v>0.05</v>
      </c>
      <c r="G1694" s="483">
        <v>32.99</v>
      </c>
      <c r="H1694" s="55"/>
      <c r="I1694" s="56">
        <f>F1694*G1694</f>
        <v>1.6495000000000002</v>
      </c>
      <c r="J1694" s="57">
        <f>F1694*G1694</f>
        <v>1.6495000000000002</v>
      </c>
    </row>
    <row r="1695" spans="1:10" ht="12.75">
      <c r="A1695" s="449"/>
      <c r="B1695" s="441"/>
      <c r="C1695" s="476"/>
      <c r="D1695" s="451" t="s">
        <v>696</v>
      </c>
      <c r="E1695" s="470"/>
      <c r="F1695" s="61"/>
      <c r="G1695" s="58"/>
      <c r="H1695" s="59">
        <f>SUM(H1692:H1694)</f>
        <v>5.5</v>
      </c>
      <c r="I1695" s="59">
        <f>SUM(I1692:I1694)</f>
        <v>3.4820000000000002</v>
      </c>
      <c r="J1695" s="60">
        <f>SUM(J1692:J1694)</f>
        <v>8.9819999999999993</v>
      </c>
    </row>
    <row r="1697" spans="1:10" ht="12.75">
      <c r="A1697" s="463" t="s">
        <v>697</v>
      </c>
      <c r="B1697" s="440"/>
      <c r="C1697" s="438" t="s">
        <v>2432</v>
      </c>
      <c r="D1697" s="439" t="s">
        <v>127</v>
      </c>
      <c r="E1697" s="376" t="s">
        <v>411</v>
      </c>
      <c r="F1697" s="440" t="s">
        <v>692</v>
      </c>
      <c r="G1697" s="376" t="s">
        <v>693</v>
      </c>
      <c r="H1697" s="440" t="s">
        <v>694</v>
      </c>
      <c r="I1697" s="440" t="s">
        <v>695</v>
      </c>
      <c r="J1697" s="440" t="s">
        <v>696</v>
      </c>
    </row>
    <row r="1698" spans="1:10" ht="12.75">
      <c r="A1698" s="446" t="s">
        <v>699</v>
      </c>
      <c r="B1698" s="465" t="s">
        <v>409</v>
      </c>
      <c r="C1698" s="478" t="s">
        <v>2420</v>
      </c>
      <c r="D1698" s="480" t="s">
        <v>127</v>
      </c>
      <c r="E1698" s="411" t="s">
        <v>737</v>
      </c>
      <c r="F1698" s="62">
        <v>1</v>
      </c>
      <c r="G1698" s="112">
        <v>6.3</v>
      </c>
      <c r="H1698" s="52">
        <f>F1698*G1698</f>
        <v>6.3</v>
      </c>
      <c r="I1698" s="53"/>
      <c r="J1698" s="54">
        <f>F1698*G1698</f>
        <v>6.3</v>
      </c>
    </row>
    <row r="1699" spans="1:10" ht="12.75">
      <c r="A1699" s="446" t="s">
        <v>698</v>
      </c>
      <c r="B1699" s="465" t="s">
        <v>406</v>
      </c>
      <c r="C1699" s="441">
        <v>88266</v>
      </c>
      <c r="D1699" s="447" t="s">
        <v>1296</v>
      </c>
      <c r="E1699" s="432" t="s">
        <v>740</v>
      </c>
      <c r="F1699" s="64">
        <v>2.5000000000000001E-2</v>
      </c>
      <c r="G1699" s="483">
        <v>36.65</v>
      </c>
      <c r="H1699" s="55"/>
      <c r="I1699" s="56">
        <f>F1699*G1699</f>
        <v>0.91625000000000001</v>
      </c>
      <c r="J1699" s="57">
        <f>F1699*G1699</f>
        <v>0.91625000000000001</v>
      </c>
    </row>
    <row r="1700" spans="1:10" ht="12.75">
      <c r="A1700" s="446" t="s">
        <v>698</v>
      </c>
      <c r="B1700" s="465" t="s">
        <v>406</v>
      </c>
      <c r="C1700" s="441">
        <v>88264</v>
      </c>
      <c r="D1700" s="447" t="s">
        <v>747</v>
      </c>
      <c r="E1700" s="432" t="s">
        <v>740</v>
      </c>
      <c r="F1700" s="64">
        <v>2.5000000000000001E-2</v>
      </c>
      <c r="G1700" s="483">
        <v>32.99</v>
      </c>
      <c r="H1700" s="55"/>
      <c r="I1700" s="56">
        <f>F1700*G1700</f>
        <v>0.82475000000000009</v>
      </c>
      <c r="J1700" s="57">
        <f>F1700*G1700</f>
        <v>0.82475000000000009</v>
      </c>
    </row>
    <row r="1701" spans="1:10" ht="12.75">
      <c r="A1701" s="449"/>
      <c r="B1701" s="441"/>
      <c r="C1701" s="476"/>
      <c r="D1701" s="451" t="s">
        <v>696</v>
      </c>
      <c r="E1701" s="470"/>
      <c r="F1701" s="61"/>
      <c r="G1701" s="58"/>
      <c r="H1701" s="59">
        <f>SUM(H1698:H1700)</f>
        <v>6.3</v>
      </c>
      <c r="I1701" s="59">
        <f>SUM(I1698:I1700)</f>
        <v>1.7410000000000001</v>
      </c>
      <c r="J1701" s="60">
        <f>SUM(J1698:J1700)</f>
        <v>8.0410000000000004</v>
      </c>
    </row>
    <row r="1703" spans="1:10" ht="38.25">
      <c r="A1703" s="463" t="s">
        <v>697</v>
      </c>
      <c r="B1703" s="440"/>
      <c r="C1703" s="438" t="s">
        <v>2433</v>
      </c>
      <c r="D1703" s="439" t="s">
        <v>966</v>
      </c>
      <c r="E1703" s="376" t="s">
        <v>411</v>
      </c>
      <c r="F1703" s="440" t="s">
        <v>692</v>
      </c>
      <c r="G1703" s="376" t="s">
        <v>693</v>
      </c>
      <c r="H1703" s="440" t="s">
        <v>694</v>
      </c>
      <c r="I1703" s="440" t="s">
        <v>695</v>
      </c>
      <c r="J1703" s="440" t="s">
        <v>696</v>
      </c>
    </row>
    <row r="1704" spans="1:10" ht="25.5">
      <c r="A1704" s="446" t="s">
        <v>699</v>
      </c>
      <c r="B1704" s="465" t="s">
        <v>409</v>
      </c>
      <c r="C1704" s="478" t="s">
        <v>2420</v>
      </c>
      <c r="D1704" s="480" t="s">
        <v>966</v>
      </c>
      <c r="E1704" s="411" t="s">
        <v>737</v>
      </c>
      <c r="F1704" s="62">
        <v>1</v>
      </c>
      <c r="G1704" s="112">
        <v>98</v>
      </c>
      <c r="H1704" s="52">
        <f>F1704*G1704</f>
        <v>98</v>
      </c>
      <c r="I1704" s="53"/>
      <c r="J1704" s="54">
        <f>F1704*G1704</f>
        <v>98</v>
      </c>
    </row>
    <row r="1705" spans="1:10" ht="25.5">
      <c r="A1705" s="446" t="s">
        <v>698</v>
      </c>
      <c r="B1705" s="465" t="s">
        <v>406</v>
      </c>
      <c r="C1705" s="478">
        <v>88248</v>
      </c>
      <c r="D1705" s="480" t="s">
        <v>505</v>
      </c>
      <c r="E1705" s="432" t="s">
        <v>740</v>
      </c>
      <c r="F1705" s="64">
        <v>0.114</v>
      </c>
      <c r="G1705" s="112">
        <v>26.14</v>
      </c>
      <c r="H1705" s="55"/>
      <c r="I1705" s="56">
        <f>F1705*G1705</f>
        <v>2.9799600000000002</v>
      </c>
      <c r="J1705" s="57">
        <f>F1705*G1705</f>
        <v>2.9799600000000002</v>
      </c>
    </row>
    <row r="1706" spans="1:10" ht="25.5">
      <c r="A1706" s="446" t="s">
        <v>698</v>
      </c>
      <c r="B1706" s="465" t="s">
        <v>406</v>
      </c>
      <c r="C1706" s="478">
        <v>88267</v>
      </c>
      <c r="D1706" s="480" t="s">
        <v>506</v>
      </c>
      <c r="E1706" s="432" t="s">
        <v>740</v>
      </c>
      <c r="F1706" s="64">
        <v>0.114</v>
      </c>
      <c r="G1706" s="112">
        <v>32.130000000000003</v>
      </c>
      <c r="H1706" s="55"/>
      <c r="I1706" s="56">
        <f t="shared" ref="I1706:I1707" si="124">F1706*G1706</f>
        <v>3.6628200000000004</v>
      </c>
      <c r="J1706" s="57">
        <f>F1706*G1706</f>
        <v>3.6628200000000004</v>
      </c>
    </row>
    <row r="1707" spans="1:10" ht="12.75">
      <c r="A1707" s="446" t="s">
        <v>698</v>
      </c>
      <c r="B1707" s="465" t="s">
        <v>406</v>
      </c>
      <c r="C1707" s="478">
        <v>88317</v>
      </c>
      <c r="D1707" s="480" t="s">
        <v>416</v>
      </c>
      <c r="E1707" s="644" t="s">
        <v>740</v>
      </c>
      <c r="F1707" s="645">
        <v>0.114</v>
      </c>
      <c r="G1707" s="112">
        <v>35.909999999999997</v>
      </c>
      <c r="H1707" s="56"/>
      <c r="I1707" s="56">
        <f t="shared" si="124"/>
        <v>4.0937399999999995</v>
      </c>
      <c r="J1707" s="57">
        <f>F1707*G1707</f>
        <v>4.0937399999999995</v>
      </c>
    </row>
    <row r="1708" spans="1:10" ht="12.75">
      <c r="A1708" s="449"/>
      <c r="B1708" s="441"/>
      <c r="C1708" s="476"/>
      <c r="D1708" s="451" t="s">
        <v>696</v>
      </c>
      <c r="E1708" s="470"/>
      <c r="F1708" s="61"/>
      <c r="G1708" s="58"/>
      <c r="H1708" s="59">
        <f>SUM(H1704:H1707)</f>
        <v>98</v>
      </c>
      <c r="I1708" s="59">
        <f>SUM(I1704:I1707)</f>
        <v>10.736519999999999</v>
      </c>
      <c r="J1708" s="60">
        <f>SUM(J1704:J1707)</f>
        <v>108.73652</v>
      </c>
    </row>
    <row r="1710" spans="1:10" ht="38.25">
      <c r="A1710" s="463" t="s">
        <v>697</v>
      </c>
      <c r="B1710" s="440"/>
      <c r="C1710" s="438" t="s">
        <v>2434</v>
      </c>
      <c r="D1710" s="439" t="s">
        <v>967</v>
      </c>
      <c r="E1710" s="376" t="s">
        <v>411</v>
      </c>
      <c r="F1710" s="440" t="s">
        <v>692</v>
      </c>
      <c r="G1710" s="376" t="s">
        <v>693</v>
      </c>
      <c r="H1710" s="440" t="s">
        <v>694</v>
      </c>
      <c r="I1710" s="440" t="s">
        <v>695</v>
      </c>
      <c r="J1710" s="440" t="s">
        <v>696</v>
      </c>
    </row>
    <row r="1711" spans="1:10" ht="25.5">
      <c r="A1711" s="446" t="s">
        <v>699</v>
      </c>
      <c r="B1711" s="465" t="s">
        <v>409</v>
      </c>
      <c r="C1711" s="478" t="s">
        <v>2420</v>
      </c>
      <c r="D1711" s="480" t="s">
        <v>967</v>
      </c>
      <c r="E1711" s="411" t="s">
        <v>737</v>
      </c>
      <c r="F1711" s="62">
        <v>1</v>
      </c>
      <c r="G1711" s="112">
        <v>115</v>
      </c>
      <c r="H1711" s="52">
        <f>F1711*G1711</f>
        <v>115</v>
      </c>
      <c r="I1711" s="53"/>
      <c r="J1711" s="54">
        <f>F1711*G1711</f>
        <v>115</v>
      </c>
    </row>
    <row r="1712" spans="1:10" ht="25.5">
      <c r="A1712" s="446" t="s">
        <v>698</v>
      </c>
      <c r="B1712" s="465" t="s">
        <v>406</v>
      </c>
      <c r="C1712" s="478">
        <v>88248</v>
      </c>
      <c r="D1712" s="480" t="s">
        <v>505</v>
      </c>
      <c r="E1712" s="432" t="s">
        <v>740</v>
      </c>
      <c r="F1712" s="64">
        <v>0.114</v>
      </c>
      <c r="G1712" s="112">
        <v>26.14</v>
      </c>
      <c r="H1712" s="55"/>
      <c r="I1712" s="56">
        <f>F1712*G1712</f>
        <v>2.9799600000000002</v>
      </c>
      <c r="J1712" s="57">
        <f>F1712*G1712</f>
        <v>2.9799600000000002</v>
      </c>
    </row>
    <row r="1713" spans="1:10" ht="25.5">
      <c r="A1713" s="446" t="s">
        <v>698</v>
      </c>
      <c r="B1713" s="465" t="s">
        <v>406</v>
      </c>
      <c r="C1713" s="478">
        <v>88267</v>
      </c>
      <c r="D1713" s="480" t="s">
        <v>506</v>
      </c>
      <c r="E1713" s="432" t="s">
        <v>740</v>
      </c>
      <c r="F1713" s="64">
        <v>0.114</v>
      </c>
      <c r="G1713" s="112">
        <v>32.130000000000003</v>
      </c>
      <c r="H1713" s="55"/>
      <c r="I1713" s="56">
        <f t="shared" ref="I1713:I1714" si="125">F1713*G1713</f>
        <v>3.6628200000000004</v>
      </c>
      <c r="J1713" s="57">
        <f>F1713*G1713</f>
        <v>3.6628200000000004</v>
      </c>
    </row>
    <row r="1714" spans="1:10" ht="12.75">
      <c r="A1714" s="446" t="s">
        <v>698</v>
      </c>
      <c r="B1714" s="465" t="s">
        <v>406</v>
      </c>
      <c r="C1714" s="478">
        <v>88317</v>
      </c>
      <c r="D1714" s="480" t="s">
        <v>416</v>
      </c>
      <c r="E1714" s="644" t="s">
        <v>740</v>
      </c>
      <c r="F1714" s="645">
        <v>0.114</v>
      </c>
      <c r="G1714" s="112">
        <v>35.909999999999997</v>
      </c>
      <c r="H1714" s="56"/>
      <c r="I1714" s="56">
        <f t="shared" si="125"/>
        <v>4.0937399999999995</v>
      </c>
      <c r="J1714" s="57">
        <f>F1714*G1714</f>
        <v>4.0937399999999995</v>
      </c>
    </row>
    <row r="1715" spans="1:10" ht="12.75">
      <c r="A1715" s="449"/>
      <c r="B1715" s="441"/>
      <c r="C1715" s="476"/>
      <c r="D1715" s="451" t="s">
        <v>696</v>
      </c>
      <c r="E1715" s="470"/>
      <c r="F1715" s="61"/>
      <c r="G1715" s="58"/>
      <c r="H1715" s="59">
        <f>SUM(H1711:H1714)</f>
        <v>115</v>
      </c>
      <c r="I1715" s="59">
        <f>SUM(I1711:I1714)</f>
        <v>10.736519999999999</v>
      </c>
      <c r="J1715" s="60">
        <f>SUM(J1711:J1714)</f>
        <v>125.73652</v>
      </c>
    </row>
    <row r="1717" spans="1:10" ht="38.25">
      <c r="A1717" s="463" t="s">
        <v>697</v>
      </c>
      <c r="B1717" s="440"/>
      <c r="C1717" s="438" t="s">
        <v>2435</v>
      </c>
      <c r="D1717" s="439" t="s">
        <v>968</v>
      </c>
      <c r="E1717" s="376" t="s">
        <v>411</v>
      </c>
      <c r="F1717" s="440" t="s">
        <v>692</v>
      </c>
      <c r="G1717" s="376" t="s">
        <v>693</v>
      </c>
      <c r="H1717" s="440" t="s">
        <v>694</v>
      </c>
      <c r="I1717" s="440" t="s">
        <v>695</v>
      </c>
      <c r="J1717" s="440" t="s">
        <v>696</v>
      </c>
    </row>
    <row r="1718" spans="1:10" ht="25.5">
      <c r="A1718" s="446" t="s">
        <v>699</v>
      </c>
      <c r="B1718" s="465" t="s">
        <v>409</v>
      </c>
      <c r="C1718" s="478" t="s">
        <v>2420</v>
      </c>
      <c r="D1718" s="480" t="s">
        <v>968</v>
      </c>
      <c r="E1718" s="411" t="s">
        <v>737</v>
      </c>
      <c r="F1718" s="62">
        <v>1</v>
      </c>
      <c r="G1718" s="112">
        <v>128</v>
      </c>
      <c r="H1718" s="52">
        <f>F1718*G1718</f>
        <v>128</v>
      </c>
      <c r="I1718" s="53"/>
      <c r="J1718" s="54">
        <f>F1718*G1718</f>
        <v>128</v>
      </c>
    </row>
    <row r="1719" spans="1:10" ht="25.5">
      <c r="A1719" s="446" t="s">
        <v>698</v>
      </c>
      <c r="B1719" s="465" t="s">
        <v>406</v>
      </c>
      <c r="C1719" s="478">
        <v>88248</v>
      </c>
      <c r="D1719" s="480" t="s">
        <v>505</v>
      </c>
      <c r="E1719" s="432" t="s">
        <v>740</v>
      </c>
      <c r="F1719" s="64">
        <v>0.114</v>
      </c>
      <c r="G1719" s="112">
        <v>26.14</v>
      </c>
      <c r="H1719" s="55"/>
      <c r="I1719" s="56">
        <f>F1719*G1719</f>
        <v>2.9799600000000002</v>
      </c>
      <c r="J1719" s="57">
        <f>F1719*G1719</f>
        <v>2.9799600000000002</v>
      </c>
    </row>
    <row r="1720" spans="1:10" ht="25.5">
      <c r="A1720" s="446" t="s">
        <v>698</v>
      </c>
      <c r="B1720" s="465" t="s">
        <v>406</v>
      </c>
      <c r="C1720" s="478">
        <v>88267</v>
      </c>
      <c r="D1720" s="480" t="s">
        <v>506</v>
      </c>
      <c r="E1720" s="432" t="s">
        <v>740</v>
      </c>
      <c r="F1720" s="64">
        <v>0.114</v>
      </c>
      <c r="G1720" s="112">
        <v>32.130000000000003</v>
      </c>
      <c r="H1720" s="55"/>
      <c r="I1720" s="56">
        <f t="shared" ref="I1720:I1721" si="126">F1720*G1720</f>
        <v>3.6628200000000004</v>
      </c>
      <c r="J1720" s="57">
        <f>F1720*G1720</f>
        <v>3.6628200000000004</v>
      </c>
    </row>
    <row r="1721" spans="1:10" ht="12.75">
      <c r="A1721" s="446" t="s">
        <v>698</v>
      </c>
      <c r="B1721" s="465" t="s">
        <v>406</v>
      </c>
      <c r="C1721" s="478">
        <v>88317</v>
      </c>
      <c r="D1721" s="480" t="s">
        <v>416</v>
      </c>
      <c r="E1721" s="644" t="s">
        <v>740</v>
      </c>
      <c r="F1721" s="645">
        <v>0.114</v>
      </c>
      <c r="G1721" s="112">
        <v>35.909999999999997</v>
      </c>
      <c r="H1721" s="56"/>
      <c r="I1721" s="56">
        <f t="shared" si="126"/>
        <v>4.0937399999999995</v>
      </c>
      <c r="J1721" s="57">
        <f>F1721*G1721</f>
        <v>4.0937399999999995</v>
      </c>
    </row>
    <row r="1722" spans="1:10" ht="12.75">
      <c r="A1722" s="449"/>
      <c r="B1722" s="441"/>
      <c r="C1722" s="476"/>
      <c r="D1722" s="451" t="s">
        <v>696</v>
      </c>
      <c r="E1722" s="470"/>
      <c r="F1722" s="61"/>
      <c r="G1722" s="58"/>
      <c r="H1722" s="59">
        <f>SUM(H1718:H1721)</f>
        <v>128</v>
      </c>
      <c r="I1722" s="59">
        <f>SUM(I1718:I1721)</f>
        <v>10.736519999999999</v>
      </c>
      <c r="J1722" s="60">
        <f>SUM(J1718:J1721)</f>
        <v>138.73652000000001</v>
      </c>
    </row>
    <row r="1724" spans="1:10" ht="38.25">
      <c r="A1724" s="463" t="s">
        <v>697</v>
      </c>
      <c r="B1724" s="440"/>
      <c r="C1724" s="438" t="s">
        <v>2436</v>
      </c>
      <c r="D1724" s="439" t="s">
        <v>969</v>
      </c>
      <c r="E1724" s="376" t="s">
        <v>411</v>
      </c>
      <c r="F1724" s="440" t="s">
        <v>692</v>
      </c>
      <c r="G1724" s="376" t="s">
        <v>693</v>
      </c>
      <c r="H1724" s="440" t="s">
        <v>694</v>
      </c>
      <c r="I1724" s="440" t="s">
        <v>695</v>
      </c>
      <c r="J1724" s="440" t="s">
        <v>696</v>
      </c>
    </row>
    <row r="1725" spans="1:10" ht="25.5">
      <c r="A1725" s="446" t="s">
        <v>699</v>
      </c>
      <c r="B1725" s="465" t="s">
        <v>409</v>
      </c>
      <c r="C1725" s="478" t="s">
        <v>2420</v>
      </c>
      <c r="D1725" s="480" t="s">
        <v>969</v>
      </c>
      <c r="E1725" s="411" t="s">
        <v>737</v>
      </c>
      <c r="F1725" s="62">
        <v>1</v>
      </c>
      <c r="G1725" s="112">
        <v>142</v>
      </c>
      <c r="H1725" s="52">
        <f>F1725*G1725</f>
        <v>142</v>
      </c>
      <c r="I1725" s="53"/>
      <c r="J1725" s="54">
        <f>F1725*G1725</f>
        <v>142</v>
      </c>
    </row>
    <row r="1726" spans="1:10" ht="25.5">
      <c r="A1726" s="446" t="s">
        <v>698</v>
      </c>
      <c r="B1726" s="465" t="s">
        <v>406</v>
      </c>
      <c r="C1726" s="478">
        <v>88248</v>
      </c>
      <c r="D1726" s="480" t="s">
        <v>505</v>
      </c>
      <c r="E1726" s="432" t="s">
        <v>740</v>
      </c>
      <c r="F1726" s="64">
        <v>0.114</v>
      </c>
      <c r="G1726" s="112">
        <v>26.14</v>
      </c>
      <c r="H1726" s="55"/>
      <c r="I1726" s="56">
        <f>F1726*G1726</f>
        <v>2.9799600000000002</v>
      </c>
      <c r="J1726" s="57">
        <f>F1726*G1726</f>
        <v>2.9799600000000002</v>
      </c>
    </row>
    <row r="1727" spans="1:10" ht="25.5">
      <c r="A1727" s="446" t="s">
        <v>698</v>
      </c>
      <c r="B1727" s="465" t="s">
        <v>406</v>
      </c>
      <c r="C1727" s="478">
        <v>88267</v>
      </c>
      <c r="D1727" s="480" t="s">
        <v>506</v>
      </c>
      <c r="E1727" s="432" t="s">
        <v>740</v>
      </c>
      <c r="F1727" s="64">
        <v>0.114</v>
      </c>
      <c r="G1727" s="112">
        <v>32.130000000000003</v>
      </c>
      <c r="H1727" s="55"/>
      <c r="I1727" s="56">
        <f t="shared" ref="I1727:I1728" si="127">F1727*G1727</f>
        <v>3.6628200000000004</v>
      </c>
      <c r="J1727" s="57">
        <f>F1727*G1727</f>
        <v>3.6628200000000004</v>
      </c>
    </row>
    <row r="1728" spans="1:10" ht="12.75">
      <c r="A1728" s="446" t="s">
        <v>698</v>
      </c>
      <c r="B1728" s="465" t="s">
        <v>406</v>
      </c>
      <c r="C1728" s="478">
        <v>88317</v>
      </c>
      <c r="D1728" s="480" t="s">
        <v>416</v>
      </c>
      <c r="E1728" s="644" t="s">
        <v>740</v>
      </c>
      <c r="F1728" s="645">
        <v>0.114</v>
      </c>
      <c r="G1728" s="112">
        <v>35.909999999999997</v>
      </c>
      <c r="H1728" s="56"/>
      <c r="I1728" s="56">
        <f t="shared" si="127"/>
        <v>4.0937399999999995</v>
      </c>
      <c r="J1728" s="57">
        <f>F1728*G1728</f>
        <v>4.0937399999999995</v>
      </c>
    </row>
    <row r="1729" spans="1:11" ht="12.75">
      <c r="A1729" s="449"/>
      <c r="B1729" s="441"/>
      <c r="C1729" s="476"/>
      <c r="D1729" s="451" t="s">
        <v>696</v>
      </c>
      <c r="E1729" s="470"/>
      <c r="F1729" s="61"/>
      <c r="G1729" s="58"/>
      <c r="H1729" s="59">
        <f>SUM(H1725:H1728)</f>
        <v>142</v>
      </c>
      <c r="I1729" s="59">
        <f>SUM(I1725:I1728)</f>
        <v>10.736519999999999</v>
      </c>
      <c r="J1729" s="60">
        <f>SUM(J1725:J1728)</f>
        <v>152.73652000000001</v>
      </c>
    </row>
    <row r="1731" spans="1:11" ht="38.25">
      <c r="A1731" s="463" t="s">
        <v>697</v>
      </c>
      <c r="B1731" s="440"/>
      <c r="C1731" s="438" t="s">
        <v>2437</v>
      </c>
      <c r="D1731" s="439" t="s">
        <v>970</v>
      </c>
      <c r="E1731" s="376" t="s">
        <v>411</v>
      </c>
      <c r="F1731" s="440" t="s">
        <v>692</v>
      </c>
      <c r="G1731" s="376" t="s">
        <v>693</v>
      </c>
      <c r="H1731" s="440" t="s">
        <v>694</v>
      </c>
      <c r="I1731" s="440" t="s">
        <v>695</v>
      </c>
      <c r="J1731" s="440" t="s">
        <v>696</v>
      </c>
    </row>
    <row r="1732" spans="1:11" ht="25.5">
      <c r="A1732" s="446" t="s">
        <v>699</v>
      </c>
      <c r="B1732" s="465" t="s">
        <v>409</v>
      </c>
      <c r="C1732" s="478" t="s">
        <v>2420</v>
      </c>
      <c r="D1732" s="480" t="s">
        <v>970</v>
      </c>
      <c r="E1732" s="411" t="s">
        <v>737</v>
      </c>
      <c r="F1732" s="62">
        <v>1</v>
      </c>
      <c r="G1732" s="112">
        <v>160</v>
      </c>
      <c r="H1732" s="52">
        <f>F1732*G1732</f>
        <v>160</v>
      </c>
      <c r="I1732" s="53"/>
      <c r="J1732" s="54">
        <f>F1732*G1732</f>
        <v>160</v>
      </c>
    </row>
    <row r="1733" spans="1:11" ht="25.5">
      <c r="A1733" s="446" t="s">
        <v>698</v>
      </c>
      <c r="B1733" s="465" t="s">
        <v>406</v>
      </c>
      <c r="C1733" s="478">
        <v>88248</v>
      </c>
      <c r="D1733" s="480" t="s">
        <v>505</v>
      </c>
      <c r="E1733" s="432" t="s">
        <v>740</v>
      </c>
      <c r="F1733" s="64">
        <v>0.114</v>
      </c>
      <c r="G1733" s="112">
        <v>26.14</v>
      </c>
      <c r="H1733" s="55"/>
      <c r="I1733" s="56">
        <f>F1733*G1733</f>
        <v>2.9799600000000002</v>
      </c>
      <c r="J1733" s="57">
        <f>F1733*G1733</f>
        <v>2.9799600000000002</v>
      </c>
    </row>
    <row r="1734" spans="1:11" ht="25.5">
      <c r="A1734" s="446" t="s">
        <v>698</v>
      </c>
      <c r="B1734" s="465" t="s">
        <v>406</v>
      </c>
      <c r="C1734" s="478">
        <v>88267</v>
      </c>
      <c r="D1734" s="480" t="s">
        <v>506</v>
      </c>
      <c r="E1734" s="432" t="s">
        <v>740</v>
      </c>
      <c r="F1734" s="64">
        <v>0.114</v>
      </c>
      <c r="G1734" s="112">
        <v>32.130000000000003</v>
      </c>
      <c r="H1734" s="55"/>
      <c r="I1734" s="56">
        <f t="shared" ref="I1734:I1735" si="128">F1734*G1734</f>
        <v>3.6628200000000004</v>
      </c>
      <c r="J1734" s="57">
        <f>F1734*G1734</f>
        <v>3.6628200000000004</v>
      </c>
    </row>
    <row r="1735" spans="1:11" ht="12.75">
      <c r="A1735" s="446" t="s">
        <v>698</v>
      </c>
      <c r="B1735" s="465" t="s">
        <v>406</v>
      </c>
      <c r="C1735" s="478">
        <v>88317</v>
      </c>
      <c r="D1735" s="480" t="s">
        <v>416</v>
      </c>
      <c r="E1735" s="644" t="s">
        <v>740</v>
      </c>
      <c r="F1735" s="645">
        <v>0.114</v>
      </c>
      <c r="G1735" s="112">
        <v>35.909999999999997</v>
      </c>
      <c r="H1735" s="56"/>
      <c r="I1735" s="56">
        <f t="shared" si="128"/>
        <v>4.0937399999999995</v>
      </c>
      <c r="J1735" s="57">
        <f>F1735*G1735</f>
        <v>4.0937399999999995</v>
      </c>
    </row>
    <row r="1736" spans="1:11" ht="12.75">
      <c r="A1736" s="449"/>
      <c r="B1736" s="441"/>
      <c r="C1736" s="476"/>
      <c r="D1736" s="451" t="s">
        <v>696</v>
      </c>
      <c r="E1736" s="470"/>
      <c r="F1736" s="61"/>
      <c r="G1736" s="58"/>
      <c r="H1736" s="59">
        <f>SUM(H1732:H1735)</f>
        <v>160</v>
      </c>
      <c r="I1736" s="59">
        <f>SUM(I1732:I1735)</f>
        <v>10.736519999999999</v>
      </c>
      <c r="J1736" s="60">
        <f>SUM(J1732:J1735)</f>
        <v>170.73652000000001</v>
      </c>
    </row>
    <row r="1738" spans="1:11" s="44" customFormat="1" ht="28.5" customHeight="1">
      <c r="A1738" s="463" t="s">
        <v>697</v>
      </c>
      <c r="B1738" s="440"/>
      <c r="C1738" s="438" t="s">
        <v>2438</v>
      </c>
      <c r="D1738" s="498" t="s">
        <v>1606</v>
      </c>
      <c r="E1738" s="440" t="s">
        <v>411</v>
      </c>
      <c r="F1738" s="417" t="s">
        <v>692</v>
      </c>
      <c r="G1738" s="417" t="s">
        <v>693</v>
      </c>
      <c r="H1738" s="417" t="s">
        <v>694</v>
      </c>
      <c r="I1738" s="417" t="s">
        <v>695</v>
      </c>
      <c r="J1738" s="424" t="s">
        <v>696</v>
      </c>
    </row>
    <row r="1739" spans="1:11" s="44" customFormat="1" ht="27.75" customHeight="1">
      <c r="A1739" s="377" t="s">
        <v>699</v>
      </c>
      <c r="B1739" s="379" t="s">
        <v>409</v>
      </c>
      <c r="C1739" s="377" t="s">
        <v>1597</v>
      </c>
      <c r="D1739" s="506" t="s">
        <v>1606</v>
      </c>
      <c r="E1739" s="411" t="s">
        <v>737</v>
      </c>
      <c r="F1739" s="62">
        <v>1</v>
      </c>
      <c r="G1739" s="112">
        <v>3500</v>
      </c>
      <c r="H1739" s="52">
        <f>F1739*G1739</f>
        <v>3500</v>
      </c>
      <c r="I1739" s="53"/>
      <c r="J1739" s="54">
        <f>F1739*G1739</f>
        <v>3500</v>
      </c>
    </row>
    <row r="1740" spans="1:11" s="44" customFormat="1" ht="13.5" customHeight="1">
      <c r="A1740" s="446" t="s">
        <v>698</v>
      </c>
      <c r="B1740" s="432" t="s">
        <v>406</v>
      </c>
      <c r="C1740" s="441">
        <v>88247</v>
      </c>
      <c r="D1740" s="447" t="s">
        <v>746</v>
      </c>
      <c r="E1740" s="432" t="s">
        <v>740</v>
      </c>
      <c r="F1740" s="64">
        <v>9.3800000000000008</v>
      </c>
      <c r="G1740" s="503">
        <v>24.96</v>
      </c>
      <c r="H1740" s="55"/>
      <c r="I1740" s="56">
        <f>F1740*G1740</f>
        <v>234.12480000000002</v>
      </c>
      <c r="J1740" s="57">
        <f>F1740*G1740</f>
        <v>234.12480000000002</v>
      </c>
      <c r="K1740" s="40"/>
    </row>
    <row r="1741" spans="1:11" s="44" customFormat="1" ht="13.5" customHeight="1">
      <c r="A1741" s="446" t="s">
        <v>698</v>
      </c>
      <c r="B1741" s="432" t="s">
        <v>406</v>
      </c>
      <c r="C1741" s="441">
        <v>88264</v>
      </c>
      <c r="D1741" s="447" t="s">
        <v>747</v>
      </c>
      <c r="E1741" s="432" t="s">
        <v>740</v>
      </c>
      <c r="F1741" s="64">
        <v>8.4499999999999993</v>
      </c>
      <c r="G1741" s="503">
        <v>32.99</v>
      </c>
      <c r="H1741" s="55"/>
      <c r="I1741" s="56">
        <f>F1741*G1741</f>
        <v>278.76549999999997</v>
      </c>
      <c r="J1741" s="57">
        <f>F1741*G1741</f>
        <v>278.76549999999997</v>
      </c>
      <c r="K1741" s="40"/>
    </row>
    <row r="1742" spans="1:11" s="44" customFormat="1" ht="13.5" customHeight="1">
      <c r="A1742" s="449"/>
      <c r="B1742" s="469"/>
      <c r="C1742" s="450"/>
      <c r="D1742" s="451" t="s">
        <v>696</v>
      </c>
      <c r="E1742" s="470"/>
      <c r="F1742" s="61"/>
      <c r="G1742" s="58"/>
      <c r="H1742" s="59">
        <f>SUM(H1739:H1741)</f>
        <v>3500</v>
      </c>
      <c r="I1742" s="59">
        <f>SUM(I1739:I1741)</f>
        <v>512.89030000000002</v>
      </c>
      <c r="J1742" s="60">
        <f>SUM(J1739:J1741)</f>
        <v>4012.8903</v>
      </c>
    </row>
    <row r="1743" spans="1:11" s="44" customFormat="1" ht="13.5" customHeight="1">
      <c r="A1743" s="469" t="s">
        <v>1052</v>
      </c>
      <c r="B1743" s="1027" t="s">
        <v>1288</v>
      </c>
      <c r="C1743" s="1028"/>
      <c r="D1743" s="1028"/>
      <c r="E1743" s="457"/>
      <c r="F1743" s="457"/>
      <c r="G1743" s="457"/>
      <c r="H1743" s="457"/>
      <c r="I1743" s="457"/>
      <c r="J1743" s="458"/>
    </row>
    <row r="1746" spans="1:10" ht="12.75">
      <c r="A1746" s="878" t="s">
        <v>697</v>
      </c>
      <c r="B1746" s="533"/>
      <c r="C1746" s="879" t="s">
        <v>2521</v>
      </c>
      <c r="D1746" s="880" t="s">
        <v>2520</v>
      </c>
      <c r="E1746" s="533" t="s">
        <v>411</v>
      </c>
      <c r="F1746" s="881" t="s">
        <v>692</v>
      </c>
      <c r="G1746" s="881" t="s">
        <v>693</v>
      </c>
      <c r="H1746" s="881" t="s">
        <v>694</v>
      </c>
      <c r="I1746" s="881" t="s">
        <v>695</v>
      </c>
      <c r="J1746" s="882" t="s">
        <v>696</v>
      </c>
    </row>
    <row r="1747" spans="1:10" ht="12.75">
      <c r="A1747" s="446" t="s">
        <v>819</v>
      </c>
      <c r="B1747" s="379" t="s">
        <v>409</v>
      </c>
      <c r="C1747" s="441">
        <v>4262</v>
      </c>
      <c r="D1747" s="447" t="s">
        <v>2522</v>
      </c>
      <c r="E1747" s="411" t="s">
        <v>4</v>
      </c>
      <c r="F1747" s="54">
        <v>1</v>
      </c>
      <c r="G1747" s="54">
        <v>12</v>
      </c>
      <c r="H1747" s="52">
        <v>0</v>
      </c>
      <c r="I1747" s="54">
        <f>F1747*G1747</f>
        <v>12</v>
      </c>
      <c r="J1747" s="54">
        <f>I1747</f>
        <v>12</v>
      </c>
    </row>
    <row r="1748" spans="1:10" ht="12.75">
      <c r="A1748" s="446" t="s">
        <v>819</v>
      </c>
      <c r="B1748" s="379" t="s">
        <v>409</v>
      </c>
      <c r="C1748" s="441">
        <v>4366</v>
      </c>
      <c r="D1748" s="447" t="s">
        <v>2523</v>
      </c>
      <c r="E1748" s="411" t="s">
        <v>4</v>
      </c>
      <c r="F1748" s="54">
        <v>1</v>
      </c>
      <c r="G1748" s="54">
        <v>8.1999999999999993</v>
      </c>
      <c r="H1748" s="52">
        <v>0</v>
      </c>
      <c r="I1748" s="54">
        <f t="shared" ref="I1748:I1750" si="129">F1748*G1748</f>
        <v>8.1999999999999993</v>
      </c>
      <c r="J1748" s="54">
        <f t="shared" ref="J1748:J1751" si="130">I1748</f>
        <v>8.1999999999999993</v>
      </c>
    </row>
    <row r="1749" spans="1:10" ht="12.75">
      <c r="A1749" s="446" t="s">
        <v>819</v>
      </c>
      <c r="B1749" s="379" t="s">
        <v>409</v>
      </c>
      <c r="C1749" s="441">
        <v>5851</v>
      </c>
      <c r="D1749" s="447" t="s">
        <v>2524</v>
      </c>
      <c r="E1749" s="411" t="s">
        <v>4</v>
      </c>
      <c r="F1749" s="54">
        <v>1</v>
      </c>
      <c r="G1749" s="54">
        <v>9.1999999999999993</v>
      </c>
      <c r="H1749" s="52">
        <v>0</v>
      </c>
      <c r="I1749" s="54">
        <f t="shared" si="129"/>
        <v>9.1999999999999993</v>
      </c>
      <c r="J1749" s="54">
        <f t="shared" si="130"/>
        <v>9.1999999999999993</v>
      </c>
    </row>
    <row r="1750" spans="1:10" ht="12.75">
      <c r="A1750" s="446" t="s">
        <v>819</v>
      </c>
      <c r="B1750" s="379" t="s">
        <v>409</v>
      </c>
      <c r="C1750" s="441">
        <v>8816</v>
      </c>
      <c r="D1750" s="447" t="s">
        <v>2525</v>
      </c>
      <c r="E1750" s="411" t="s">
        <v>4</v>
      </c>
      <c r="F1750" s="54">
        <v>1</v>
      </c>
      <c r="G1750" s="54">
        <v>10.5</v>
      </c>
      <c r="H1750" s="52">
        <v>0</v>
      </c>
      <c r="I1750" s="54">
        <f t="shared" si="129"/>
        <v>10.5</v>
      </c>
      <c r="J1750" s="54">
        <f t="shared" si="130"/>
        <v>10.5</v>
      </c>
    </row>
    <row r="1751" spans="1:10" ht="12.75">
      <c r="A1751" s="883"/>
      <c r="B1751" s="883"/>
      <c r="C1751" s="883"/>
      <c r="D1751" s="451" t="s">
        <v>696</v>
      </c>
      <c r="E1751" s="411" t="s">
        <v>4</v>
      </c>
      <c r="F1751" s="884"/>
      <c r="G1751" s="885"/>
      <c r="H1751" s="59">
        <v>0</v>
      </c>
      <c r="I1751" s="891">
        <f>SUM(I1747:I1750)</f>
        <v>39.9</v>
      </c>
      <c r="J1751" s="891">
        <f t="shared" si="130"/>
        <v>39.9</v>
      </c>
    </row>
    <row r="1752" spans="1:10" s="44" customFormat="1" ht="13.5" customHeight="1">
      <c r="A1752" s="469" t="s">
        <v>1052</v>
      </c>
      <c r="B1752" s="1027" t="s">
        <v>2526</v>
      </c>
      <c r="C1752" s="1028"/>
      <c r="D1752" s="1028"/>
      <c r="E1752" s="457"/>
      <c r="F1752" s="457"/>
      <c r="G1752" s="457"/>
      <c r="H1752" s="457"/>
      <c r="I1752" s="457"/>
      <c r="J1752" s="458"/>
    </row>
  </sheetData>
  <mergeCells count="214">
    <mergeCell ref="B1752:D1752"/>
    <mergeCell ref="B1035:D1035"/>
    <mergeCell ref="B1014:D1014"/>
    <mergeCell ref="B1021:D1021"/>
    <mergeCell ref="B950:D950"/>
    <mergeCell ref="B957:D957"/>
    <mergeCell ref="B964:D964"/>
    <mergeCell ref="B972:D972"/>
    <mergeCell ref="B979:D979"/>
    <mergeCell ref="B986:D986"/>
    <mergeCell ref="B993:D993"/>
    <mergeCell ref="B1000:D1000"/>
    <mergeCell ref="B1007:D1007"/>
    <mergeCell ref="B1027:D1027"/>
    <mergeCell ref="B1105:D1105"/>
    <mergeCell ref="B1112:D1112"/>
    <mergeCell ref="B1119:D1119"/>
    <mergeCell ref="B1125:D1125"/>
    <mergeCell ref="B1042:D1042"/>
    <mergeCell ref="B1049:D1049"/>
    <mergeCell ref="B1056:D1056"/>
    <mergeCell ref="B1063:D1063"/>
    <mergeCell ref="B1070:D1070"/>
    <mergeCell ref="B1077:D1077"/>
    <mergeCell ref="B864:D864"/>
    <mergeCell ref="E757:F757"/>
    <mergeCell ref="B758:D758"/>
    <mergeCell ref="B779:D779"/>
    <mergeCell ref="B793:D793"/>
    <mergeCell ref="B800:D800"/>
    <mergeCell ref="B913:D913"/>
    <mergeCell ref="B906:D906"/>
    <mergeCell ref="B823:D823"/>
    <mergeCell ref="B829:D829"/>
    <mergeCell ref="B901:D901"/>
    <mergeCell ref="B841:D841"/>
    <mergeCell ref="B849:D849"/>
    <mergeCell ref="B858:D858"/>
    <mergeCell ref="B871:D871"/>
    <mergeCell ref="B877:D877"/>
    <mergeCell ref="B883:D883"/>
    <mergeCell ref="B890:D890"/>
    <mergeCell ref="B710:D710"/>
    <mergeCell ref="B716:D716"/>
    <mergeCell ref="B723:D723"/>
    <mergeCell ref="B730:D730"/>
    <mergeCell ref="B805:D805"/>
    <mergeCell ref="B809:D809"/>
    <mergeCell ref="B816:D816"/>
    <mergeCell ref="B765:D765"/>
    <mergeCell ref="B772:D772"/>
    <mergeCell ref="B737:D737"/>
    <mergeCell ref="B751:D751"/>
    <mergeCell ref="B786:D786"/>
    <mergeCell ref="B744:D744"/>
    <mergeCell ref="B638:D638"/>
    <mergeCell ref="B646:D646"/>
    <mergeCell ref="B331:D331"/>
    <mergeCell ref="B703:D703"/>
    <mergeCell ref="B682:D682"/>
    <mergeCell ref="B696:D696"/>
    <mergeCell ref="B370:D370"/>
    <mergeCell ref="B385:D385"/>
    <mergeCell ref="B675:D675"/>
    <mergeCell ref="B263:D263"/>
    <mergeCell ref="B273:D273"/>
    <mergeCell ref="B282:D282"/>
    <mergeCell ref="B289:D289"/>
    <mergeCell ref="B689:D689"/>
    <mergeCell ref="B338:D338"/>
    <mergeCell ref="B346:D346"/>
    <mergeCell ref="B354:D354"/>
    <mergeCell ref="B363:D363"/>
    <mergeCell ref="B310:D310"/>
    <mergeCell ref="B317:D317"/>
    <mergeCell ref="B377:D377"/>
    <mergeCell ref="B654:D654"/>
    <mergeCell ref="B542:D542"/>
    <mergeCell ref="B549:D549"/>
    <mergeCell ref="B514:D514"/>
    <mergeCell ref="B521:D521"/>
    <mergeCell ref="B556:D556"/>
    <mergeCell ref="B590:D590"/>
    <mergeCell ref="B598:D598"/>
    <mergeCell ref="B606:D606"/>
    <mergeCell ref="B614:D614"/>
    <mergeCell ref="B565:D565"/>
    <mergeCell ref="B575:D575"/>
    <mergeCell ref="B33:D33"/>
    <mergeCell ref="E81:F81"/>
    <mergeCell ref="B104:D104"/>
    <mergeCell ref="B112:D112"/>
    <mergeCell ref="B120:D120"/>
    <mergeCell ref="B87:D87"/>
    <mergeCell ref="B218:D218"/>
    <mergeCell ref="B296:D296"/>
    <mergeCell ref="B303:D303"/>
    <mergeCell ref="B127:D127"/>
    <mergeCell ref="B182:D182"/>
    <mergeCell ref="B191:D191"/>
    <mergeCell ref="B200:D200"/>
    <mergeCell ref="B209:D209"/>
    <mergeCell ref="B134:D134"/>
    <mergeCell ref="B141:D141"/>
    <mergeCell ref="B161:D161"/>
    <mergeCell ref="B150:D150"/>
    <mergeCell ref="B167:D167"/>
    <mergeCell ref="B173:D173"/>
    <mergeCell ref="B227:D227"/>
    <mergeCell ref="B236:D236"/>
    <mergeCell ref="B245:D245"/>
    <mergeCell ref="B254:D254"/>
    <mergeCell ref="B943:D943"/>
    <mergeCell ref="B929:D929"/>
    <mergeCell ref="B936:D936"/>
    <mergeCell ref="B392:D392"/>
    <mergeCell ref="B400:D400"/>
    <mergeCell ref="B407:D407"/>
    <mergeCell ref="B413:D413"/>
    <mergeCell ref="B420:D420"/>
    <mergeCell ref="B427:D427"/>
    <mergeCell ref="B434:D434"/>
    <mergeCell ref="B440:D440"/>
    <mergeCell ref="B835:D835"/>
    <mergeCell ref="B447:D447"/>
    <mergeCell ref="B454:D454"/>
    <mergeCell ref="B461:D461"/>
    <mergeCell ref="B468:D468"/>
    <mergeCell ref="B475:D475"/>
    <mergeCell ref="B582:D582"/>
    <mergeCell ref="B535:D535"/>
    <mergeCell ref="B622:D622"/>
    <mergeCell ref="B500:D500"/>
    <mergeCell ref="B507:D507"/>
    <mergeCell ref="B668:D668"/>
    <mergeCell ref="B630:D630"/>
    <mergeCell ref="B1084:D1084"/>
    <mergeCell ref="B1091:D1091"/>
    <mergeCell ref="B1098:D1098"/>
    <mergeCell ref="B1168:D1168"/>
    <mergeCell ref="B1131:D1131"/>
    <mergeCell ref="B1137:D1137"/>
    <mergeCell ref="B1143:D1143"/>
    <mergeCell ref="B1149:D1149"/>
    <mergeCell ref="B1155:D1155"/>
    <mergeCell ref="B1161:D1161"/>
    <mergeCell ref="B1175:D1175"/>
    <mergeCell ref="B1182:D1182"/>
    <mergeCell ref="B1189:D1189"/>
    <mergeCell ref="B1196:D1196"/>
    <mergeCell ref="B1203:D1203"/>
    <mergeCell ref="B1210:D1210"/>
    <mergeCell ref="B1217:D1217"/>
    <mergeCell ref="B1224:D1224"/>
    <mergeCell ref="B1231:D1231"/>
    <mergeCell ref="B1238:D1238"/>
    <mergeCell ref="B1245:D1245"/>
    <mergeCell ref="B1252:D1252"/>
    <mergeCell ref="B1259:D1259"/>
    <mergeCell ref="B1266:D1266"/>
    <mergeCell ref="B1273:D1273"/>
    <mergeCell ref="B1280:D1280"/>
    <mergeCell ref="B1287:D1287"/>
    <mergeCell ref="B1294:D1294"/>
    <mergeCell ref="B1301:D1301"/>
    <mergeCell ref="B1308:D1308"/>
    <mergeCell ref="B1315:D1315"/>
    <mergeCell ref="B1322:D1322"/>
    <mergeCell ref="B1329:D1329"/>
    <mergeCell ref="B1336:D1336"/>
    <mergeCell ref="B1343:D1343"/>
    <mergeCell ref="B1350:D1350"/>
    <mergeCell ref="B1357:D1357"/>
    <mergeCell ref="B1364:D1364"/>
    <mergeCell ref="B1371:D1371"/>
    <mergeCell ref="B1378:D1378"/>
    <mergeCell ref="B1385:D1385"/>
    <mergeCell ref="B1392:D1392"/>
    <mergeCell ref="B1399:D1399"/>
    <mergeCell ref="B1406:D1406"/>
    <mergeCell ref="B1413:D1413"/>
    <mergeCell ref="B1420:D1420"/>
    <mergeCell ref="B1427:D1427"/>
    <mergeCell ref="B1434:D1434"/>
    <mergeCell ref="B1441:D1441"/>
    <mergeCell ref="B1448:D1448"/>
    <mergeCell ref="B1455:D1455"/>
    <mergeCell ref="B1462:D1462"/>
    <mergeCell ref="B1469:D1469"/>
    <mergeCell ref="B1476:D1476"/>
    <mergeCell ref="B1483:D1483"/>
    <mergeCell ref="B1490:D1490"/>
    <mergeCell ref="B1497:D1497"/>
    <mergeCell ref="B1504:D1504"/>
    <mergeCell ref="B1511:D1511"/>
    <mergeCell ref="B1518:D1518"/>
    <mergeCell ref="B1525:D1525"/>
    <mergeCell ref="B1532:D1532"/>
    <mergeCell ref="B1539:D1539"/>
    <mergeCell ref="B1546:D1546"/>
    <mergeCell ref="B1553:D1553"/>
    <mergeCell ref="B1560:D1560"/>
    <mergeCell ref="B1683:D1683"/>
    <mergeCell ref="B1689:D1689"/>
    <mergeCell ref="B1743:D1743"/>
    <mergeCell ref="B1567:D1567"/>
    <mergeCell ref="B1574:D1574"/>
    <mergeCell ref="B1581:D1581"/>
    <mergeCell ref="B1588:D1588"/>
    <mergeCell ref="B1595:D1595"/>
    <mergeCell ref="B1602:D1602"/>
    <mergeCell ref="B1609:D1609"/>
    <mergeCell ref="B1616:D1616"/>
    <mergeCell ref="B1623:D1623"/>
  </mergeCells>
  <phoneticPr fontId="3" type="noConversion"/>
  <pageMargins left="0.511811024" right="0.511811024" top="0.78740157499999996" bottom="0.78740157499999996" header="0.31496062000000002" footer="0.31496062000000002"/>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79"/>
  <sheetViews>
    <sheetView topLeftCell="B1504" zoomScale="85" zoomScaleNormal="85" workbookViewId="0">
      <selection activeCell="K1569" sqref="K1569"/>
    </sheetView>
  </sheetViews>
  <sheetFormatPr defaultColWidth="9.140625" defaultRowHeight="15"/>
  <cols>
    <col min="1" max="1" width="5.7109375" style="116" bestFit="1" customWidth="1"/>
    <col min="2" max="2" width="17" style="116" bestFit="1" customWidth="1"/>
    <col min="3" max="3" width="10" style="116" customWidth="1"/>
    <col min="4" max="4" width="9.7109375" style="116" customWidth="1"/>
    <col min="5" max="5" width="80" style="116" customWidth="1"/>
    <col min="6" max="6" width="25" style="116" customWidth="1"/>
    <col min="7" max="8" width="10" style="116" customWidth="1"/>
    <col min="9" max="9" width="10.28515625" style="116" customWidth="1"/>
    <col min="10" max="10" width="13" style="116" customWidth="1"/>
    <col min="11" max="11" width="19.140625" style="116" customWidth="1"/>
    <col min="12" max="15" width="9.140625" style="116"/>
    <col min="16" max="16" width="18" style="116" bestFit="1" customWidth="1"/>
    <col min="17" max="17" width="9.140625" style="116"/>
    <col min="18" max="18" width="15.85546875" style="116" bestFit="1" customWidth="1"/>
    <col min="19" max="19" width="9.140625" style="116"/>
    <col min="20" max="20" width="15.85546875" style="116" bestFit="1" customWidth="1"/>
    <col min="21" max="16384" width="9.140625" style="116"/>
  </cols>
  <sheetData>
    <row r="1" spans="1:11" ht="5.0999999999999996" customHeight="1">
      <c r="A1" s="115"/>
      <c r="B1" s="115"/>
      <c r="C1" s="115"/>
      <c r="D1" s="115"/>
      <c r="E1" s="115"/>
      <c r="F1" s="115"/>
      <c r="G1" s="115"/>
      <c r="H1" s="115"/>
      <c r="I1" s="115"/>
      <c r="J1" s="115"/>
      <c r="K1" s="115"/>
    </row>
    <row r="2" spans="1:11" ht="17.25" customHeight="1">
      <c r="A2" s="117"/>
      <c r="B2" s="118"/>
      <c r="C2" s="118"/>
      <c r="D2" s="118"/>
      <c r="E2" s="119"/>
      <c r="F2" s="118"/>
      <c r="G2" s="118"/>
      <c r="H2" s="118"/>
      <c r="I2" s="118"/>
      <c r="J2" s="118"/>
      <c r="K2" s="120"/>
    </row>
    <row r="3" spans="1:11" ht="17.25" customHeight="1">
      <c r="A3" s="1035"/>
      <c r="B3" s="1036"/>
      <c r="C3" s="1036"/>
      <c r="D3" s="1036"/>
      <c r="E3" s="1036"/>
      <c r="F3" s="1037" t="s">
        <v>2514</v>
      </c>
      <c r="G3" s="1037"/>
      <c r="H3" s="1037"/>
      <c r="I3" s="1037"/>
      <c r="J3" s="1037"/>
      <c r="K3" s="1038"/>
    </row>
    <row r="4" spans="1:11" ht="17.100000000000001" customHeight="1">
      <c r="A4" s="122"/>
      <c r="B4" s="115"/>
      <c r="C4" s="115"/>
      <c r="D4" s="115"/>
      <c r="E4" s="123"/>
      <c r="F4" s="115"/>
      <c r="G4" s="115"/>
      <c r="H4" s="115"/>
      <c r="I4" s="115"/>
      <c r="J4" s="115"/>
      <c r="K4" s="121"/>
    </row>
    <row r="5" spans="1:11" ht="20.100000000000001" customHeight="1">
      <c r="A5" s="122"/>
      <c r="B5" s="115"/>
      <c r="C5" s="115"/>
      <c r="D5" s="115"/>
      <c r="E5" s="124" t="s">
        <v>1690</v>
      </c>
      <c r="F5" s="115"/>
      <c r="G5" s="115"/>
      <c r="H5" s="115"/>
      <c r="I5" s="115"/>
      <c r="J5" s="115"/>
      <c r="K5" s="121"/>
    </row>
    <row r="6" spans="1:11">
      <c r="A6" s="125"/>
      <c r="B6" s="126"/>
      <c r="C6" s="126"/>
      <c r="D6" s="126"/>
      <c r="E6" s="126"/>
      <c r="F6" s="126"/>
      <c r="G6" s="126"/>
      <c r="H6" s="126"/>
      <c r="I6" s="126"/>
      <c r="J6" s="126"/>
      <c r="K6" s="127"/>
    </row>
    <row r="7" spans="1:11" ht="8.1" customHeight="1">
      <c r="A7" s="115"/>
      <c r="B7" s="115"/>
      <c r="C7" s="115"/>
      <c r="D7" s="115"/>
      <c r="E7" s="115"/>
      <c r="F7" s="115"/>
      <c r="G7" s="115"/>
      <c r="H7" s="115"/>
      <c r="I7" s="115"/>
      <c r="J7" s="115"/>
      <c r="K7" s="115"/>
    </row>
    <row r="8" spans="1:11">
      <c r="A8" s="128"/>
      <c r="B8" s="129" t="s">
        <v>1691</v>
      </c>
      <c r="C8" s="129" t="s">
        <v>1692</v>
      </c>
      <c r="D8" s="129" t="s">
        <v>1693</v>
      </c>
      <c r="E8" s="130" t="s">
        <v>0</v>
      </c>
      <c r="F8" s="130" t="s">
        <v>1694</v>
      </c>
      <c r="G8" s="129"/>
      <c r="H8" s="129" t="s">
        <v>1695</v>
      </c>
      <c r="I8" s="130" t="s">
        <v>1696</v>
      </c>
      <c r="J8" s="130" t="s">
        <v>1697</v>
      </c>
      <c r="K8" s="131" t="s">
        <v>1698</v>
      </c>
    </row>
    <row r="9" spans="1:11" ht="50.1" customHeight="1">
      <c r="A9" s="132" t="s">
        <v>1699</v>
      </c>
      <c r="B9" s="133" t="s">
        <v>1700</v>
      </c>
      <c r="C9" s="133" t="s">
        <v>698</v>
      </c>
      <c r="D9" s="133">
        <v>93567</v>
      </c>
      <c r="E9" s="134" t="s">
        <v>465</v>
      </c>
      <c r="F9" s="134" t="s">
        <v>601</v>
      </c>
      <c r="G9" s="133"/>
      <c r="H9" s="133" t="s">
        <v>447</v>
      </c>
      <c r="I9" s="134"/>
      <c r="J9" s="143"/>
      <c r="K9" s="143">
        <f>SUM(K10:K15)</f>
        <v>21787.280000000002</v>
      </c>
    </row>
    <row r="10" spans="1:11">
      <c r="A10" s="136" t="s">
        <v>1208</v>
      </c>
      <c r="B10" s="137" t="s">
        <v>792</v>
      </c>
      <c r="C10" s="137" t="s">
        <v>698</v>
      </c>
      <c r="D10" s="137">
        <v>40813</v>
      </c>
      <c r="E10" s="136" t="s">
        <v>1701</v>
      </c>
      <c r="F10" s="1033" t="s">
        <v>1702</v>
      </c>
      <c r="G10" s="1034"/>
      <c r="H10" s="137" t="s">
        <v>447</v>
      </c>
      <c r="I10" s="136">
        <v>1</v>
      </c>
      <c r="J10" s="144">
        <v>21303.83</v>
      </c>
      <c r="K10" s="138">
        <f>I10*J10</f>
        <v>21303.83</v>
      </c>
    </row>
    <row r="11" spans="1:11">
      <c r="A11" s="136" t="s">
        <v>1208</v>
      </c>
      <c r="B11" s="137" t="s">
        <v>792</v>
      </c>
      <c r="C11" s="137" t="s">
        <v>698</v>
      </c>
      <c r="D11" s="137">
        <v>40863</v>
      </c>
      <c r="E11" s="136" t="s">
        <v>669</v>
      </c>
      <c r="F11" s="1033" t="s">
        <v>1703</v>
      </c>
      <c r="G11" s="1034"/>
      <c r="H11" s="137" t="s">
        <v>447</v>
      </c>
      <c r="I11" s="136">
        <v>1</v>
      </c>
      <c r="J11" s="144">
        <v>152.35</v>
      </c>
      <c r="K11" s="138">
        <f t="shared" ref="K11:K15" si="0">I11*J11</f>
        <v>152.35</v>
      </c>
    </row>
    <row r="12" spans="1:11">
      <c r="A12" s="136" t="s">
        <v>1208</v>
      </c>
      <c r="B12" s="137" t="s">
        <v>792</v>
      </c>
      <c r="C12" s="137" t="s">
        <v>698</v>
      </c>
      <c r="D12" s="137">
        <v>40864</v>
      </c>
      <c r="E12" s="136" t="s">
        <v>670</v>
      </c>
      <c r="F12" s="1033" t="s">
        <v>1703</v>
      </c>
      <c r="G12" s="1034"/>
      <c r="H12" s="137" t="s">
        <v>447</v>
      </c>
      <c r="I12" s="136">
        <v>1</v>
      </c>
      <c r="J12" s="144">
        <v>11.8</v>
      </c>
      <c r="K12" s="138">
        <f t="shared" si="0"/>
        <v>11.8</v>
      </c>
    </row>
    <row r="13" spans="1:11" ht="24.75">
      <c r="A13" s="136" t="s">
        <v>1208</v>
      </c>
      <c r="B13" s="137" t="s">
        <v>792</v>
      </c>
      <c r="C13" s="137" t="s">
        <v>698</v>
      </c>
      <c r="D13" s="137">
        <v>43474</v>
      </c>
      <c r="E13" s="136" t="s">
        <v>673</v>
      </c>
      <c r="F13" s="1033" t="s">
        <v>1704</v>
      </c>
      <c r="G13" s="1034"/>
      <c r="H13" s="137" t="s">
        <v>447</v>
      </c>
      <c r="I13" s="136">
        <v>1</v>
      </c>
      <c r="J13" s="144">
        <v>1.9</v>
      </c>
      <c r="K13" s="138">
        <f t="shared" si="0"/>
        <v>1.9</v>
      </c>
    </row>
    <row r="14" spans="1:11">
      <c r="A14" s="136" t="s">
        <v>1208</v>
      </c>
      <c r="B14" s="137" t="s">
        <v>792</v>
      </c>
      <c r="C14" s="137" t="s">
        <v>698</v>
      </c>
      <c r="D14" s="137">
        <v>43498</v>
      </c>
      <c r="E14" s="136" t="s">
        <v>674</v>
      </c>
      <c r="F14" s="1033" t="s">
        <v>1704</v>
      </c>
      <c r="G14" s="1034"/>
      <c r="H14" s="137" t="s">
        <v>447</v>
      </c>
      <c r="I14" s="136">
        <v>1</v>
      </c>
      <c r="J14" s="144">
        <v>123.54</v>
      </c>
      <c r="K14" s="138">
        <f t="shared" si="0"/>
        <v>123.54</v>
      </c>
    </row>
    <row r="15" spans="1:11" ht="24.75">
      <c r="A15" s="136" t="s">
        <v>1208</v>
      </c>
      <c r="B15" s="137" t="s">
        <v>1705</v>
      </c>
      <c r="C15" s="137" t="s">
        <v>698</v>
      </c>
      <c r="D15" s="137">
        <v>95417</v>
      </c>
      <c r="E15" s="136" t="s">
        <v>675</v>
      </c>
      <c r="F15" s="1033" t="s">
        <v>1706</v>
      </c>
      <c r="G15" s="1034"/>
      <c r="H15" s="137" t="s">
        <v>447</v>
      </c>
      <c r="I15" s="136">
        <v>1</v>
      </c>
      <c r="J15" s="144">
        <v>193.86</v>
      </c>
      <c r="K15" s="138">
        <f t="shared" si="0"/>
        <v>193.86</v>
      </c>
    </row>
    <row r="16" spans="1:11">
      <c r="A16" s="139"/>
      <c r="E16" s="139"/>
      <c r="F16" s="139"/>
      <c r="I16" s="139"/>
      <c r="J16" s="139"/>
      <c r="K16" s="140"/>
    </row>
    <row r="17" spans="1:11">
      <c r="A17" s="128"/>
      <c r="B17" s="129" t="s">
        <v>1691</v>
      </c>
      <c r="C17" s="129" t="s">
        <v>1692</v>
      </c>
      <c r="D17" s="129" t="s">
        <v>1693</v>
      </c>
      <c r="E17" s="130" t="s">
        <v>0</v>
      </c>
      <c r="F17" s="130" t="s">
        <v>1694</v>
      </c>
      <c r="G17" s="129"/>
      <c r="H17" s="129" t="s">
        <v>1695</v>
      </c>
      <c r="I17" s="130" t="s">
        <v>1696</v>
      </c>
      <c r="J17" s="130" t="s">
        <v>1697</v>
      </c>
      <c r="K17" s="131" t="s">
        <v>1698</v>
      </c>
    </row>
    <row r="18" spans="1:11" ht="50.1" customHeight="1">
      <c r="A18" s="132" t="s">
        <v>1707</v>
      </c>
      <c r="B18" s="133" t="s">
        <v>1700</v>
      </c>
      <c r="C18" s="133" t="s">
        <v>698</v>
      </c>
      <c r="D18" s="133">
        <v>101404</v>
      </c>
      <c r="E18" s="134" t="s">
        <v>1708</v>
      </c>
      <c r="F18" s="134" t="s">
        <v>601</v>
      </c>
      <c r="G18" s="133"/>
      <c r="H18" s="133" t="s">
        <v>447</v>
      </c>
      <c r="I18" s="134"/>
      <c r="J18" s="143"/>
      <c r="K18" s="143">
        <f>SUM(K19:K24)</f>
        <v>19592.690000000006</v>
      </c>
    </row>
    <row r="19" spans="1:11">
      <c r="A19" s="136" t="s">
        <v>1208</v>
      </c>
      <c r="B19" s="137" t="s">
        <v>792</v>
      </c>
      <c r="C19" s="137" t="s">
        <v>698</v>
      </c>
      <c r="D19" s="137">
        <v>40863</v>
      </c>
      <c r="E19" s="136" t="s">
        <v>669</v>
      </c>
      <c r="F19" s="1033" t="s">
        <v>1703</v>
      </c>
      <c r="G19" s="1034"/>
      <c r="H19" s="137" t="s">
        <v>447</v>
      </c>
      <c r="I19" s="136">
        <v>1</v>
      </c>
      <c r="J19" s="136">
        <v>152.35</v>
      </c>
      <c r="K19" s="138">
        <f>J19*I19</f>
        <v>152.35</v>
      </c>
    </row>
    <row r="20" spans="1:11">
      <c r="A20" s="136" t="s">
        <v>1208</v>
      </c>
      <c r="B20" s="137" t="s">
        <v>792</v>
      </c>
      <c r="C20" s="137" t="s">
        <v>698</v>
      </c>
      <c r="D20" s="137">
        <v>40864</v>
      </c>
      <c r="E20" s="136" t="s">
        <v>670</v>
      </c>
      <c r="F20" s="1033" t="s">
        <v>1703</v>
      </c>
      <c r="G20" s="1034"/>
      <c r="H20" s="137" t="s">
        <v>447</v>
      </c>
      <c r="I20" s="136">
        <v>1</v>
      </c>
      <c r="J20" s="136">
        <v>11.8</v>
      </c>
      <c r="K20" s="138">
        <f t="shared" ref="K20:K24" si="1">J20*I20</f>
        <v>11.8</v>
      </c>
    </row>
    <row r="21" spans="1:11">
      <c r="A21" s="136" t="s">
        <v>1208</v>
      </c>
      <c r="B21" s="137" t="s">
        <v>792</v>
      </c>
      <c r="C21" s="137" t="s">
        <v>698</v>
      </c>
      <c r="D21" s="137">
        <v>40939</v>
      </c>
      <c r="E21" s="136" t="s">
        <v>1709</v>
      </c>
      <c r="F21" s="1033" t="s">
        <v>1702</v>
      </c>
      <c r="G21" s="1034"/>
      <c r="H21" s="137" t="s">
        <v>447</v>
      </c>
      <c r="I21" s="136">
        <v>1</v>
      </c>
      <c r="J21" s="136">
        <v>18906.080000000002</v>
      </c>
      <c r="K21" s="138">
        <f t="shared" si="1"/>
        <v>18906.080000000002</v>
      </c>
    </row>
    <row r="22" spans="1:11" ht="24.75">
      <c r="A22" s="136" t="s">
        <v>1208</v>
      </c>
      <c r="B22" s="137" t="s">
        <v>792</v>
      </c>
      <c r="C22" s="137" t="s">
        <v>698</v>
      </c>
      <c r="D22" s="137">
        <v>43474</v>
      </c>
      <c r="E22" s="136" t="s">
        <v>673</v>
      </c>
      <c r="F22" s="1033" t="s">
        <v>1704</v>
      </c>
      <c r="G22" s="1034"/>
      <c r="H22" s="137" t="s">
        <v>447</v>
      </c>
      <c r="I22" s="136">
        <v>1</v>
      </c>
      <c r="J22" s="136">
        <v>1.9</v>
      </c>
      <c r="K22" s="138">
        <f t="shared" si="1"/>
        <v>1.9</v>
      </c>
    </row>
    <row r="23" spans="1:11">
      <c r="A23" s="136" t="s">
        <v>1208</v>
      </c>
      <c r="B23" s="137" t="s">
        <v>792</v>
      </c>
      <c r="C23" s="137" t="s">
        <v>698</v>
      </c>
      <c r="D23" s="137">
        <v>43498</v>
      </c>
      <c r="E23" s="136" t="s">
        <v>674</v>
      </c>
      <c r="F23" s="1033" t="s">
        <v>1704</v>
      </c>
      <c r="G23" s="1034"/>
      <c r="H23" s="137" t="s">
        <v>447</v>
      </c>
      <c r="I23" s="136">
        <v>1</v>
      </c>
      <c r="J23" s="136">
        <v>123.54</v>
      </c>
      <c r="K23" s="138">
        <f t="shared" si="1"/>
        <v>123.54</v>
      </c>
    </row>
    <row r="24" spans="1:11">
      <c r="A24" s="136" t="s">
        <v>1208</v>
      </c>
      <c r="B24" s="137" t="s">
        <v>1705</v>
      </c>
      <c r="C24" s="137" t="s">
        <v>698</v>
      </c>
      <c r="D24" s="137">
        <v>101318</v>
      </c>
      <c r="E24" s="136" t="s">
        <v>1710</v>
      </c>
      <c r="F24" s="1033" t="s">
        <v>1706</v>
      </c>
      <c r="G24" s="1034"/>
      <c r="H24" s="137" t="s">
        <v>447</v>
      </c>
      <c r="I24" s="136">
        <v>1</v>
      </c>
      <c r="J24" s="136">
        <v>397.02</v>
      </c>
      <c r="K24" s="138">
        <f t="shared" si="1"/>
        <v>397.02</v>
      </c>
    </row>
    <row r="25" spans="1:11">
      <c r="A25" s="139"/>
      <c r="E25" s="139"/>
      <c r="F25" s="139"/>
      <c r="I25" s="139"/>
      <c r="J25" s="139"/>
      <c r="K25" s="140"/>
    </row>
    <row r="26" spans="1:11">
      <c r="A26" s="128"/>
      <c r="B26" s="129" t="s">
        <v>1691</v>
      </c>
      <c r="C26" s="129" t="s">
        <v>1692</v>
      </c>
      <c r="D26" s="129" t="s">
        <v>1693</v>
      </c>
      <c r="E26" s="130" t="s">
        <v>0</v>
      </c>
      <c r="F26" s="130" t="s">
        <v>1694</v>
      </c>
      <c r="G26" s="129"/>
      <c r="H26" s="129" t="s">
        <v>1695</v>
      </c>
      <c r="I26" s="130" t="s">
        <v>1696</v>
      </c>
      <c r="J26" s="130" t="s">
        <v>1697</v>
      </c>
      <c r="K26" s="131" t="s">
        <v>1698</v>
      </c>
    </row>
    <row r="27" spans="1:11" ht="50.1" customHeight="1">
      <c r="A27" s="132" t="s">
        <v>1711</v>
      </c>
      <c r="B27" s="133" t="s">
        <v>1700</v>
      </c>
      <c r="C27" s="133" t="s">
        <v>698</v>
      </c>
      <c r="D27" s="133">
        <v>94295</v>
      </c>
      <c r="E27" s="134" t="s">
        <v>666</v>
      </c>
      <c r="F27" s="134" t="s">
        <v>601</v>
      </c>
      <c r="G27" s="133"/>
      <c r="H27" s="133" t="s">
        <v>447</v>
      </c>
      <c r="I27" s="134"/>
      <c r="J27" s="143"/>
      <c r="K27" s="143">
        <f>SUM(K28:K33)</f>
        <v>10349.700000000001</v>
      </c>
    </row>
    <row r="28" spans="1:11">
      <c r="A28" s="136" t="s">
        <v>1208</v>
      </c>
      <c r="B28" s="137" t="s">
        <v>792</v>
      </c>
      <c r="C28" s="137" t="s">
        <v>698</v>
      </c>
      <c r="D28" s="137">
        <v>40819</v>
      </c>
      <c r="E28" s="136" t="s">
        <v>1712</v>
      </c>
      <c r="F28" s="1033" t="s">
        <v>1702</v>
      </c>
      <c r="G28" s="1034"/>
      <c r="H28" s="137" t="s">
        <v>447</v>
      </c>
      <c r="I28" s="136">
        <v>1</v>
      </c>
      <c r="J28" s="136">
        <v>9835.19</v>
      </c>
      <c r="K28" s="138">
        <f>I28*J28</f>
        <v>9835.19</v>
      </c>
    </row>
    <row r="29" spans="1:11">
      <c r="A29" s="136" t="s">
        <v>1208</v>
      </c>
      <c r="B29" s="137" t="s">
        <v>792</v>
      </c>
      <c r="C29" s="137" t="s">
        <v>698</v>
      </c>
      <c r="D29" s="137">
        <v>40863</v>
      </c>
      <c r="E29" s="136" t="s">
        <v>669</v>
      </c>
      <c r="F29" s="1033" t="s">
        <v>1703</v>
      </c>
      <c r="G29" s="1034"/>
      <c r="H29" s="137" t="s">
        <v>447</v>
      </c>
      <c r="I29" s="136">
        <v>1</v>
      </c>
      <c r="J29" s="136">
        <v>152.35</v>
      </c>
      <c r="K29" s="138">
        <f t="shared" ref="K29:K33" si="2">I29*J29</f>
        <v>152.35</v>
      </c>
    </row>
    <row r="30" spans="1:11">
      <c r="A30" s="136" t="s">
        <v>1208</v>
      </c>
      <c r="B30" s="137" t="s">
        <v>792</v>
      </c>
      <c r="C30" s="137" t="s">
        <v>698</v>
      </c>
      <c r="D30" s="137">
        <v>40864</v>
      </c>
      <c r="E30" s="136" t="s">
        <v>670</v>
      </c>
      <c r="F30" s="1033" t="s">
        <v>1703</v>
      </c>
      <c r="G30" s="1034"/>
      <c r="H30" s="137" t="s">
        <v>447</v>
      </c>
      <c r="I30" s="136">
        <v>1</v>
      </c>
      <c r="J30" s="136">
        <v>11.8</v>
      </c>
      <c r="K30" s="138">
        <f t="shared" si="2"/>
        <v>11.8</v>
      </c>
    </row>
    <row r="31" spans="1:11" ht="24.75">
      <c r="A31" s="136" t="s">
        <v>1208</v>
      </c>
      <c r="B31" s="137" t="s">
        <v>792</v>
      </c>
      <c r="C31" s="137" t="s">
        <v>698</v>
      </c>
      <c r="D31" s="137">
        <v>43475</v>
      </c>
      <c r="E31" s="136" t="s">
        <v>676</v>
      </c>
      <c r="F31" s="1033" t="s">
        <v>1704</v>
      </c>
      <c r="G31" s="1034"/>
      <c r="H31" s="137" t="s">
        <v>447</v>
      </c>
      <c r="I31" s="136">
        <v>1</v>
      </c>
      <c r="J31" s="136">
        <v>18.579999999999998</v>
      </c>
      <c r="K31" s="138">
        <f t="shared" si="2"/>
        <v>18.579999999999998</v>
      </c>
    </row>
    <row r="32" spans="1:11">
      <c r="A32" s="136" t="s">
        <v>1208</v>
      </c>
      <c r="B32" s="137" t="s">
        <v>792</v>
      </c>
      <c r="C32" s="137" t="s">
        <v>698</v>
      </c>
      <c r="D32" s="137">
        <v>43499</v>
      </c>
      <c r="E32" s="136" t="s">
        <v>677</v>
      </c>
      <c r="F32" s="1033" t="s">
        <v>1704</v>
      </c>
      <c r="G32" s="1034"/>
      <c r="H32" s="137" t="s">
        <v>447</v>
      </c>
      <c r="I32" s="136">
        <v>1</v>
      </c>
      <c r="J32" s="136">
        <v>202.94</v>
      </c>
      <c r="K32" s="138">
        <f t="shared" si="2"/>
        <v>202.94</v>
      </c>
    </row>
    <row r="33" spans="1:11">
      <c r="A33" s="136" t="s">
        <v>1208</v>
      </c>
      <c r="B33" s="137" t="s">
        <v>1705</v>
      </c>
      <c r="C33" s="137" t="s">
        <v>698</v>
      </c>
      <c r="D33" s="137">
        <v>95423</v>
      </c>
      <c r="E33" s="136" t="s">
        <v>678</v>
      </c>
      <c r="F33" s="1033" t="s">
        <v>1706</v>
      </c>
      <c r="G33" s="1034"/>
      <c r="H33" s="137" t="s">
        <v>447</v>
      </c>
      <c r="I33" s="136">
        <v>1</v>
      </c>
      <c r="J33" s="136">
        <v>128.84</v>
      </c>
      <c r="K33" s="138">
        <f t="shared" si="2"/>
        <v>128.84</v>
      </c>
    </row>
    <row r="34" spans="1:11">
      <c r="A34" s="139"/>
      <c r="E34" s="139"/>
      <c r="F34" s="139"/>
      <c r="I34" s="139"/>
      <c r="J34" s="139"/>
      <c r="K34" s="140"/>
    </row>
    <row r="35" spans="1:11">
      <c r="A35" s="128"/>
      <c r="B35" s="129" t="s">
        <v>1691</v>
      </c>
      <c r="C35" s="129" t="s">
        <v>1692</v>
      </c>
      <c r="D35" s="129" t="s">
        <v>1693</v>
      </c>
      <c r="E35" s="130" t="s">
        <v>0</v>
      </c>
      <c r="F35" s="130" t="s">
        <v>1694</v>
      </c>
      <c r="G35" s="129"/>
      <c r="H35" s="129" t="s">
        <v>1695</v>
      </c>
      <c r="I35" s="130" t="s">
        <v>1696</v>
      </c>
      <c r="J35" s="130" t="s">
        <v>1697</v>
      </c>
      <c r="K35" s="131" t="s">
        <v>1698</v>
      </c>
    </row>
    <row r="36" spans="1:11" ht="50.1" customHeight="1">
      <c r="A36" s="132" t="s">
        <v>1713</v>
      </c>
      <c r="B36" s="133" t="s">
        <v>1700</v>
      </c>
      <c r="C36" s="133" t="s">
        <v>698</v>
      </c>
      <c r="D36" s="133">
        <v>100321</v>
      </c>
      <c r="E36" s="134" t="s">
        <v>679</v>
      </c>
      <c r="F36" s="134" t="s">
        <v>601</v>
      </c>
      <c r="G36" s="133"/>
      <c r="H36" s="133" t="s">
        <v>447</v>
      </c>
      <c r="I36" s="134"/>
      <c r="J36" s="143"/>
      <c r="K36" s="143">
        <f>SUM(K37:K42)</f>
        <v>7314.94</v>
      </c>
    </row>
    <row r="37" spans="1:11">
      <c r="A37" s="136" t="s">
        <v>1208</v>
      </c>
      <c r="B37" s="137" t="s">
        <v>792</v>
      </c>
      <c r="C37" s="137" t="s">
        <v>698</v>
      </c>
      <c r="D37" s="137">
        <v>40863</v>
      </c>
      <c r="E37" s="136" t="s">
        <v>669</v>
      </c>
      <c r="F37" s="1033" t="s">
        <v>1703</v>
      </c>
      <c r="G37" s="1034"/>
      <c r="H37" s="137" t="s">
        <v>447</v>
      </c>
      <c r="I37" s="136">
        <v>1</v>
      </c>
      <c r="J37" s="136">
        <v>152.35</v>
      </c>
      <c r="K37" s="138">
        <f>I37*J37</f>
        <v>152.35</v>
      </c>
    </row>
    <row r="38" spans="1:11">
      <c r="A38" s="136" t="s">
        <v>1208</v>
      </c>
      <c r="B38" s="137" t="s">
        <v>792</v>
      </c>
      <c r="C38" s="137" t="s">
        <v>698</v>
      </c>
      <c r="D38" s="137">
        <v>40864</v>
      </c>
      <c r="E38" s="136" t="s">
        <v>670</v>
      </c>
      <c r="F38" s="1033" t="s">
        <v>1703</v>
      </c>
      <c r="G38" s="1034"/>
      <c r="H38" s="137" t="s">
        <v>447</v>
      </c>
      <c r="I38" s="136">
        <v>1</v>
      </c>
      <c r="J38" s="136">
        <v>11.8</v>
      </c>
      <c r="K38" s="138">
        <f t="shared" ref="K38:K42" si="3">I38*J38</f>
        <v>11.8</v>
      </c>
    </row>
    <row r="39" spans="1:11">
      <c r="A39" s="136" t="s">
        <v>1208</v>
      </c>
      <c r="B39" s="137" t="s">
        <v>792</v>
      </c>
      <c r="C39" s="137" t="s">
        <v>698</v>
      </c>
      <c r="D39" s="137">
        <v>40944</v>
      </c>
      <c r="E39" s="136" t="s">
        <v>1714</v>
      </c>
      <c r="F39" s="1033" t="s">
        <v>1702</v>
      </c>
      <c r="G39" s="1034"/>
      <c r="H39" s="137" t="s">
        <v>447</v>
      </c>
      <c r="I39" s="136">
        <v>1</v>
      </c>
      <c r="J39" s="136">
        <v>6934.19</v>
      </c>
      <c r="K39" s="138">
        <f t="shared" si="3"/>
        <v>6934.19</v>
      </c>
    </row>
    <row r="40" spans="1:11" ht="24.75">
      <c r="A40" s="136" t="s">
        <v>1208</v>
      </c>
      <c r="B40" s="137" t="s">
        <v>792</v>
      </c>
      <c r="C40" s="137" t="s">
        <v>698</v>
      </c>
      <c r="D40" s="137">
        <v>43470</v>
      </c>
      <c r="E40" s="136" t="s">
        <v>671</v>
      </c>
      <c r="F40" s="1033" t="s">
        <v>1704</v>
      </c>
      <c r="G40" s="1034"/>
      <c r="H40" s="137" t="s">
        <v>447</v>
      </c>
      <c r="I40" s="136">
        <v>1</v>
      </c>
      <c r="J40" s="136">
        <v>9.2100000000000009</v>
      </c>
      <c r="K40" s="138">
        <f t="shared" si="3"/>
        <v>9.2100000000000009</v>
      </c>
    </row>
    <row r="41" spans="1:11">
      <c r="A41" s="136" t="s">
        <v>1208</v>
      </c>
      <c r="B41" s="137" t="s">
        <v>792</v>
      </c>
      <c r="C41" s="137" t="s">
        <v>698</v>
      </c>
      <c r="D41" s="137">
        <v>43494</v>
      </c>
      <c r="E41" s="136" t="s">
        <v>672</v>
      </c>
      <c r="F41" s="1033" t="s">
        <v>1704</v>
      </c>
      <c r="G41" s="1034"/>
      <c r="H41" s="137" t="s">
        <v>447</v>
      </c>
      <c r="I41" s="136">
        <v>1</v>
      </c>
      <c r="J41" s="136">
        <v>130.43</v>
      </c>
      <c r="K41" s="138">
        <f t="shared" si="3"/>
        <v>130.43</v>
      </c>
    </row>
    <row r="42" spans="1:11" ht="24.75">
      <c r="A42" s="136" t="s">
        <v>1208</v>
      </c>
      <c r="B42" s="137" t="s">
        <v>1705</v>
      </c>
      <c r="C42" s="137" t="s">
        <v>698</v>
      </c>
      <c r="D42" s="137">
        <v>100315</v>
      </c>
      <c r="E42" s="136" t="s">
        <v>680</v>
      </c>
      <c r="F42" s="1033" t="s">
        <v>1706</v>
      </c>
      <c r="G42" s="1034"/>
      <c r="H42" s="137" t="s">
        <v>447</v>
      </c>
      <c r="I42" s="136">
        <v>1</v>
      </c>
      <c r="J42" s="136">
        <v>76.959999999999994</v>
      </c>
      <c r="K42" s="138">
        <f t="shared" si="3"/>
        <v>76.959999999999994</v>
      </c>
    </row>
    <row r="43" spans="1:11">
      <c r="A43" s="139"/>
      <c r="E43" s="139"/>
      <c r="F43" s="139"/>
      <c r="I43" s="139"/>
      <c r="J43" s="139"/>
      <c r="K43" s="140"/>
    </row>
    <row r="44" spans="1:11">
      <c r="A44" s="128"/>
      <c r="B44" s="129" t="s">
        <v>1691</v>
      </c>
      <c r="C44" s="129" t="s">
        <v>1692</v>
      </c>
      <c r="D44" s="129" t="s">
        <v>1693</v>
      </c>
      <c r="E44" s="130" t="s">
        <v>0</v>
      </c>
      <c r="F44" s="130" t="s">
        <v>1694</v>
      </c>
      <c r="G44" s="129"/>
      <c r="H44" s="129" t="s">
        <v>1695</v>
      </c>
      <c r="I44" s="130" t="s">
        <v>1696</v>
      </c>
      <c r="J44" s="130" t="s">
        <v>1697</v>
      </c>
      <c r="K44" s="131" t="s">
        <v>1698</v>
      </c>
    </row>
    <row r="45" spans="1:11" ht="50.1" customHeight="1">
      <c r="A45" s="132" t="s">
        <v>1715</v>
      </c>
      <c r="B45" s="133" t="s">
        <v>1700</v>
      </c>
      <c r="C45" s="133" t="s">
        <v>698</v>
      </c>
      <c r="D45" s="133">
        <v>101452</v>
      </c>
      <c r="E45" s="134" t="s">
        <v>683</v>
      </c>
      <c r="F45" s="134" t="s">
        <v>601</v>
      </c>
      <c r="G45" s="133"/>
      <c r="H45" s="133" t="s">
        <v>447</v>
      </c>
      <c r="I45" s="134"/>
      <c r="J45" s="134"/>
      <c r="K45" s="146">
        <f>SUM(K46:K53)</f>
        <v>2282.41</v>
      </c>
    </row>
    <row r="46" spans="1:11">
      <c r="A46" s="136" t="s">
        <v>1208</v>
      </c>
      <c r="B46" s="137" t="s">
        <v>792</v>
      </c>
      <c r="C46" s="137" t="s">
        <v>698</v>
      </c>
      <c r="D46" s="137">
        <v>40861</v>
      </c>
      <c r="E46" s="136" t="s">
        <v>667</v>
      </c>
      <c r="F46" s="1033" t="s">
        <v>1703</v>
      </c>
      <c r="G46" s="1034"/>
      <c r="H46" s="137" t="s">
        <v>447</v>
      </c>
      <c r="I46" s="136">
        <v>0.5</v>
      </c>
      <c r="J46" s="136">
        <v>189.44</v>
      </c>
      <c r="K46" s="138">
        <f>I46*J46</f>
        <v>94.72</v>
      </c>
    </row>
    <row r="47" spans="1:11">
      <c r="A47" s="136" t="s">
        <v>1208</v>
      </c>
      <c r="B47" s="137" t="s">
        <v>792</v>
      </c>
      <c r="C47" s="137" t="s">
        <v>698</v>
      </c>
      <c r="D47" s="137">
        <v>40862</v>
      </c>
      <c r="E47" s="136" t="s">
        <v>668</v>
      </c>
      <c r="F47" s="1033" t="s">
        <v>1703</v>
      </c>
      <c r="G47" s="1034"/>
      <c r="H47" s="137" t="s">
        <v>447</v>
      </c>
      <c r="I47" s="136">
        <v>0.5</v>
      </c>
      <c r="J47" s="136">
        <v>737.44</v>
      </c>
      <c r="K47" s="138">
        <f t="shared" ref="K47:K51" si="4">I47*J47</f>
        <v>368.72</v>
      </c>
    </row>
    <row r="48" spans="1:11">
      <c r="A48" s="136" t="s">
        <v>1208</v>
      </c>
      <c r="B48" s="137" t="s">
        <v>792</v>
      </c>
      <c r="C48" s="137" t="s">
        <v>698</v>
      </c>
      <c r="D48" s="137">
        <v>40863</v>
      </c>
      <c r="E48" s="136" t="s">
        <v>669</v>
      </c>
      <c r="F48" s="1033" t="s">
        <v>1703</v>
      </c>
      <c r="G48" s="1034"/>
      <c r="H48" s="137" t="s">
        <v>447</v>
      </c>
      <c r="I48" s="136">
        <v>0.5</v>
      </c>
      <c r="J48" s="136">
        <v>152.35</v>
      </c>
      <c r="K48" s="138">
        <f t="shared" si="4"/>
        <v>76.174999999999997</v>
      </c>
    </row>
    <row r="49" spans="1:11">
      <c r="A49" s="136" t="s">
        <v>1208</v>
      </c>
      <c r="B49" s="137" t="s">
        <v>792</v>
      </c>
      <c r="C49" s="137" t="s">
        <v>698</v>
      </c>
      <c r="D49" s="137">
        <v>40864</v>
      </c>
      <c r="E49" s="136" t="s">
        <v>670</v>
      </c>
      <c r="F49" s="1033" t="s">
        <v>1703</v>
      </c>
      <c r="G49" s="1034"/>
      <c r="H49" s="137" t="s">
        <v>447</v>
      </c>
      <c r="I49" s="136">
        <v>0.5</v>
      </c>
      <c r="J49" s="136">
        <v>11.8</v>
      </c>
      <c r="K49" s="138">
        <f t="shared" si="4"/>
        <v>5.9</v>
      </c>
    </row>
    <row r="50" spans="1:11">
      <c r="A50" s="136" t="s">
        <v>1208</v>
      </c>
      <c r="B50" s="137" t="s">
        <v>792</v>
      </c>
      <c r="C50" s="137" t="s">
        <v>698</v>
      </c>
      <c r="D50" s="137">
        <v>41084</v>
      </c>
      <c r="E50" s="136" t="s">
        <v>1716</v>
      </c>
      <c r="F50" s="1033" t="s">
        <v>1702</v>
      </c>
      <c r="G50" s="1034"/>
      <c r="H50" s="137" t="s">
        <v>447</v>
      </c>
      <c r="I50" s="136">
        <v>0.5</v>
      </c>
      <c r="J50" s="136">
        <v>3110.12</v>
      </c>
      <c r="K50" s="138">
        <f t="shared" si="4"/>
        <v>1555.06</v>
      </c>
    </row>
    <row r="51" spans="1:11">
      <c r="A51" s="136" t="s">
        <v>1208</v>
      </c>
      <c r="B51" s="137" t="s">
        <v>792</v>
      </c>
      <c r="C51" s="137" t="s">
        <v>698</v>
      </c>
      <c r="D51" s="137">
        <v>43479</v>
      </c>
      <c r="E51" s="136" t="s">
        <v>682</v>
      </c>
      <c r="F51" s="1033" t="s">
        <v>1704</v>
      </c>
      <c r="G51" s="1034"/>
      <c r="H51" s="137" t="s">
        <v>447</v>
      </c>
      <c r="I51" s="136">
        <v>0.5</v>
      </c>
      <c r="J51" s="136">
        <v>106.33</v>
      </c>
      <c r="K51" s="138">
        <f t="shared" si="4"/>
        <v>53.164999999999999</v>
      </c>
    </row>
    <row r="52" spans="1:11">
      <c r="A52" s="136" t="s">
        <v>1208</v>
      </c>
      <c r="B52" s="137" t="s">
        <v>792</v>
      </c>
      <c r="C52" s="137" t="s">
        <v>698</v>
      </c>
      <c r="D52" s="137">
        <v>43503</v>
      </c>
      <c r="E52" s="136" t="s">
        <v>1717</v>
      </c>
      <c r="F52" s="1033" t="s">
        <v>1704</v>
      </c>
      <c r="G52" s="1034"/>
      <c r="H52" s="137" t="s">
        <v>447</v>
      </c>
      <c r="I52" s="136">
        <v>0.5</v>
      </c>
      <c r="J52" s="136">
        <v>216.6</v>
      </c>
      <c r="K52" s="138">
        <f>I52*J52</f>
        <v>108.3</v>
      </c>
    </row>
    <row r="53" spans="1:11">
      <c r="A53" s="136" t="s">
        <v>1208</v>
      </c>
      <c r="B53" s="137" t="s">
        <v>1705</v>
      </c>
      <c r="C53" s="137" t="s">
        <v>698</v>
      </c>
      <c r="D53" s="137">
        <v>101364</v>
      </c>
      <c r="E53" s="136" t="s">
        <v>681</v>
      </c>
      <c r="F53" s="1033" t="s">
        <v>1706</v>
      </c>
      <c r="G53" s="1034"/>
      <c r="H53" s="137" t="s">
        <v>447</v>
      </c>
      <c r="I53" s="136">
        <v>0.5</v>
      </c>
      <c r="J53" s="136">
        <v>40.74</v>
      </c>
      <c r="K53" s="138">
        <f>I53*J53</f>
        <v>20.37</v>
      </c>
    </row>
    <row r="54" spans="1:11">
      <c r="A54" s="139"/>
      <c r="E54" s="139"/>
      <c r="F54" s="139"/>
      <c r="I54" s="139"/>
      <c r="J54" s="139"/>
      <c r="K54" s="140"/>
    </row>
    <row r="55" spans="1:11">
      <c r="A55" s="128"/>
      <c r="B55" s="129" t="s">
        <v>1691</v>
      </c>
      <c r="C55" s="129" t="s">
        <v>1692</v>
      </c>
      <c r="D55" s="129" t="s">
        <v>1693</v>
      </c>
      <c r="E55" s="130" t="s">
        <v>0</v>
      </c>
      <c r="F55" s="130" t="s">
        <v>1694</v>
      </c>
      <c r="G55" s="129"/>
      <c r="H55" s="129" t="s">
        <v>1695</v>
      </c>
      <c r="I55" s="130" t="s">
        <v>1696</v>
      </c>
      <c r="J55" s="130" t="s">
        <v>1697</v>
      </c>
      <c r="K55" s="131" t="s">
        <v>1698</v>
      </c>
    </row>
    <row r="56" spans="1:11" ht="50.1" customHeight="1">
      <c r="A56" s="132" t="s">
        <v>1718</v>
      </c>
      <c r="B56" s="133" t="s">
        <v>1700</v>
      </c>
      <c r="C56" s="133" t="s">
        <v>698</v>
      </c>
      <c r="D56" s="133">
        <v>102192</v>
      </c>
      <c r="E56" s="134" t="s">
        <v>1719</v>
      </c>
      <c r="F56" s="134" t="s">
        <v>450</v>
      </c>
      <c r="G56" s="133"/>
      <c r="H56" s="133" t="s">
        <v>421</v>
      </c>
      <c r="I56" s="134"/>
      <c r="J56" s="143"/>
      <c r="K56" s="143">
        <f>SUM(K57:K58)</f>
        <v>18.759819999999998</v>
      </c>
    </row>
    <row r="57" spans="1:11">
      <c r="A57" s="136" t="s">
        <v>1208</v>
      </c>
      <c r="B57" s="137" t="s">
        <v>1705</v>
      </c>
      <c r="C57" s="137" t="s">
        <v>698</v>
      </c>
      <c r="D57" s="137">
        <v>88316</v>
      </c>
      <c r="E57" s="136" t="s">
        <v>414</v>
      </c>
      <c r="F57" s="1033" t="s">
        <v>1706</v>
      </c>
      <c r="G57" s="1034"/>
      <c r="H57" s="137" t="s">
        <v>412</v>
      </c>
      <c r="I57" s="136">
        <v>0.33800000000000002</v>
      </c>
      <c r="J57" s="852">
        <v>25.49</v>
      </c>
      <c r="K57" s="144">
        <f>I57*J57</f>
        <v>8.6156199999999998</v>
      </c>
    </row>
    <row r="58" spans="1:11">
      <c r="A58" s="136" t="s">
        <v>1208</v>
      </c>
      <c r="B58" s="137" t="s">
        <v>1705</v>
      </c>
      <c r="C58" s="137" t="s">
        <v>698</v>
      </c>
      <c r="D58" s="137">
        <v>88325</v>
      </c>
      <c r="E58" s="136" t="s">
        <v>1720</v>
      </c>
      <c r="F58" s="1033" t="s">
        <v>1706</v>
      </c>
      <c r="G58" s="1034"/>
      <c r="H58" s="137" t="s">
        <v>412</v>
      </c>
      <c r="I58" s="136">
        <v>0.34799999999999998</v>
      </c>
      <c r="J58" s="136">
        <v>29.15</v>
      </c>
      <c r="K58" s="144">
        <f>I58*J58</f>
        <v>10.1442</v>
      </c>
    </row>
    <row r="59" spans="1:11">
      <c r="A59" s="139"/>
      <c r="E59" s="139"/>
      <c r="F59" s="139"/>
      <c r="I59" s="139"/>
      <c r="J59" s="139"/>
      <c r="K59" s="140"/>
    </row>
    <row r="60" spans="1:11">
      <c r="A60" s="128"/>
      <c r="B60" s="129" t="s">
        <v>1691</v>
      </c>
      <c r="C60" s="129" t="s">
        <v>1692</v>
      </c>
      <c r="D60" s="129" t="s">
        <v>1693</v>
      </c>
      <c r="E60" s="130" t="s">
        <v>0</v>
      </c>
      <c r="F60" s="130" t="s">
        <v>1694</v>
      </c>
      <c r="G60" s="129"/>
      <c r="H60" s="129" t="s">
        <v>1695</v>
      </c>
      <c r="I60" s="130" t="s">
        <v>1696</v>
      </c>
      <c r="J60" s="130" t="s">
        <v>1697</v>
      </c>
      <c r="K60" s="131" t="s">
        <v>1698</v>
      </c>
    </row>
    <row r="61" spans="1:11" ht="50.1" customHeight="1">
      <c r="A61" s="132" t="s">
        <v>1721</v>
      </c>
      <c r="B61" s="133" t="s">
        <v>1700</v>
      </c>
      <c r="C61" s="133" t="s">
        <v>698</v>
      </c>
      <c r="D61" s="133">
        <v>97641</v>
      </c>
      <c r="E61" s="134" t="s">
        <v>643</v>
      </c>
      <c r="F61" s="134" t="s">
        <v>638</v>
      </c>
      <c r="G61" s="133"/>
      <c r="H61" s="133" t="s">
        <v>421</v>
      </c>
      <c r="I61" s="134"/>
      <c r="J61" s="143"/>
      <c r="K61" s="143">
        <f>SUM(K62:K63)</f>
        <v>5.8392020000000002</v>
      </c>
    </row>
    <row r="62" spans="1:11">
      <c r="A62" s="136" t="s">
        <v>1208</v>
      </c>
      <c r="B62" s="137" t="s">
        <v>1705</v>
      </c>
      <c r="C62" s="137" t="s">
        <v>698</v>
      </c>
      <c r="D62" s="137">
        <v>88269</v>
      </c>
      <c r="E62" s="136" t="s">
        <v>632</v>
      </c>
      <c r="F62" s="1033" t="s">
        <v>1706</v>
      </c>
      <c r="G62" s="1034"/>
      <c r="H62" s="137" t="s">
        <v>412</v>
      </c>
      <c r="I62" s="136">
        <v>7.1300000000000002E-2</v>
      </c>
      <c r="J62" s="142">
        <v>31.81</v>
      </c>
      <c r="K62" s="145">
        <f>I62*J62</f>
        <v>2.2680530000000001</v>
      </c>
    </row>
    <row r="63" spans="1:11">
      <c r="A63" s="136" t="s">
        <v>1208</v>
      </c>
      <c r="B63" s="137" t="s">
        <v>1705</v>
      </c>
      <c r="C63" s="137" t="s">
        <v>698</v>
      </c>
      <c r="D63" s="137">
        <v>88316</v>
      </c>
      <c r="E63" s="136" t="s">
        <v>414</v>
      </c>
      <c r="F63" s="1033" t="s">
        <v>1706</v>
      </c>
      <c r="G63" s="1034"/>
      <c r="H63" s="137" t="s">
        <v>412</v>
      </c>
      <c r="I63" s="136">
        <v>0.1401</v>
      </c>
      <c r="J63" s="136">
        <v>25.49</v>
      </c>
      <c r="K63" s="145">
        <f>I63*J63</f>
        <v>3.5711489999999997</v>
      </c>
    </row>
    <row r="64" spans="1:11">
      <c r="A64" s="139"/>
      <c r="E64" s="139"/>
      <c r="F64" s="139"/>
      <c r="I64" s="139"/>
      <c r="J64" s="139"/>
      <c r="K64" s="140"/>
    </row>
    <row r="65" spans="1:11">
      <c r="A65" s="128"/>
      <c r="B65" s="129" t="s">
        <v>1691</v>
      </c>
      <c r="C65" s="129" t="s">
        <v>1692</v>
      </c>
      <c r="D65" s="129" t="s">
        <v>1693</v>
      </c>
      <c r="E65" s="130" t="s">
        <v>0</v>
      </c>
      <c r="F65" s="130" t="s">
        <v>1694</v>
      </c>
      <c r="G65" s="129"/>
      <c r="H65" s="129" t="s">
        <v>1695</v>
      </c>
      <c r="I65" s="130" t="s">
        <v>1696</v>
      </c>
      <c r="J65" s="130" t="s">
        <v>1697</v>
      </c>
      <c r="K65" s="131" t="s">
        <v>1698</v>
      </c>
    </row>
    <row r="66" spans="1:11" ht="50.1" customHeight="1">
      <c r="A66" s="132" t="s">
        <v>1722</v>
      </c>
      <c r="B66" s="133" t="s">
        <v>1700</v>
      </c>
      <c r="C66" s="133" t="s">
        <v>698</v>
      </c>
      <c r="D66" s="133">
        <v>97640</v>
      </c>
      <c r="E66" s="134" t="s">
        <v>642</v>
      </c>
      <c r="F66" s="134" t="s">
        <v>638</v>
      </c>
      <c r="G66" s="133"/>
      <c r="H66" s="133" t="s">
        <v>421</v>
      </c>
      <c r="I66" s="134"/>
      <c r="J66" s="135"/>
      <c r="K66" s="135">
        <f>SUM(K67:K68)</f>
        <v>2.137035</v>
      </c>
    </row>
    <row r="67" spans="1:11">
      <c r="A67" s="136" t="s">
        <v>1208</v>
      </c>
      <c r="B67" s="137" t="s">
        <v>1705</v>
      </c>
      <c r="C67" s="137" t="s">
        <v>698</v>
      </c>
      <c r="D67" s="137">
        <v>88278</v>
      </c>
      <c r="E67" s="136" t="s">
        <v>444</v>
      </c>
      <c r="F67" s="1033" t="s">
        <v>1706</v>
      </c>
      <c r="G67" s="1034"/>
      <c r="H67" s="137" t="s">
        <v>412</v>
      </c>
      <c r="I67" s="136">
        <v>2.58E-2</v>
      </c>
      <c r="J67" s="136">
        <v>32.74</v>
      </c>
      <c r="K67" s="138">
        <f>I67*J67</f>
        <v>0.844692</v>
      </c>
    </row>
    <row r="68" spans="1:11">
      <c r="A68" s="136" t="s">
        <v>1208</v>
      </c>
      <c r="B68" s="137" t="s">
        <v>1705</v>
      </c>
      <c r="C68" s="137" t="s">
        <v>698</v>
      </c>
      <c r="D68" s="137">
        <v>88316</v>
      </c>
      <c r="E68" s="136" t="s">
        <v>414</v>
      </c>
      <c r="F68" s="1033" t="s">
        <v>1706</v>
      </c>
      <c r="G68" s="1034"/>
      <c r="H68" s="137" t="s">
        <v>412</v>
      </c>
      <c r="I68" s="136">
        <v>5.0700000000000002E-2</v>
      </c>
      <c r="J68" s="136">
        <v>25.49</v>
      </c>
      <c r="K68" s="138">
        <f>I68*J68</f>
        <v>1.292343</v>
      </c>
    </row>
    <row r="69" spans="1:11">
      <c r="A69" s="139"/>
      <c r="E69" s="139"/>
      <c r="F69" s="139"/>
      <c r="I69" s="139"/>
      <c r="J69" s="139"/>
      <c r="K69" s="140"/>
    </row>
    <row r="70" spans="1:11">
      <c r="A70" s="128"/>
      <c r="B70" s="129" t="s">
        <v>1691</v>
      </c>
      <c r="C70" s="129" t="s">
        <v>1692</v>
      </c>
      <c r="D70" s="129" t="s">
        <v>1693</v>
      </c>
      <c r="E70" s="130" t="s">
        <v>0</v>
      </c>
      <c r="F70" s="130" t="s">
        <v>1694</v>
      </c>
      <c r="G70" s="129"/>
      <c r="H70" s="129" t="s">
        <v>1695</v>
      </c>
      <c r="I70" s="130" t="s">
        <v>1696</v>
      </c>
      <c r="J70" s="130" t="s">
        <v>1697</v>
      </c>
      <c r="K70" s="131" t="s">
        <v>1698</v>
      </c>
    </row>
    <row r="71" spans="1:11" ht="50.1" customHeight="1">
      <c r="A71" s="132" t="s">
        <v>1723</v>
      </c>
      <c r="B71" s="133" t="s">
        <v>1700</v>
      </c>
      <c r="C71" s="133" t="s">
        <v>698</v>
      </c>
      <c r="D71" s="133">
        <v>97644</v>
      </c>
      <c r="E71" s="134" t="s">
        <v>645</v>
      </c>
      <c r="F71" s="134" t="s">
        <v>638</v>
      </c>
      <c r="G71" s="133"/>
      <c r="H71" s="133" t="s">
        <v>421</v>
      </c>
      <c r="I71" s="134"/>
      <c r="J71" s="146"/>
      <c r="K71" s="135">
        <f>SUM(K72:K73)</f>
        <v>10.874993</v>
      </c>
    </row>
    <row r="72" spans="1:11">
      <c r="A72" s="136" t="s">
        <v>1208</v>
      </c>
      <c r="B72" s="137" t="s">
        <v>1705</v>
      </c>
      <c r="C72" s="137" t="s">
        <v>698</v>
      </c>
      <c r="D72" s="137">
        <v>88309</v>
      </c>
      <c r="E72" s="136" t="s">
        <v>445</v>
      </c>
      <c r="F72" s="1033" t="s">
        <v>1706</v>
      </c>
      <c r="G72" s="1034"/>
      <c r="H72" s="137" t="s">
        <v>412</v>
      </c>
      <c r="I72" s="136">
        <v>0.13150000000000001</v>
      </c>
      <c r="J72" s="136">
        <v>32.65</v>
      </c>
      <c r="K72" s="138">
        <f>I72*J72</f>
        <v>4.2934749999999999</v>
      </c>
    </row>
    <row r="73" spans="1:11">
      <c r="A73" s="136" t="s">
        <v>1208</v>
      </c>
      <c r="B73" s="137" t="s">
        <v>1705</v>
      </c>
      <c r="C73" s="137" t="s">
        <v>698</v>
      </c>
      <c r="D73" s="137">
        <v>88316</v>
      </c>
      <c r="E73" s="136" t="s">
        <v>414</v>
      </c>
      <c r="F73" s="1033" t="s">
        <v>1706</v>
      </c>
      <c r="G73" s="1034"/>
      <c r="H73" s="137" t="s">
        <v>412</v>
      </c>
      <c r="I73" s="136">
        <v>0.25819999999999999</v>
      </c>
      <c r="J73" s="136">
        <v>25.49</v>
      </c>
      <c r="K73" s="138">
        <f>I73*J73</f>
        <v>6.5815179999999991</v>
      </c>
    </row>
    <row r="74" spans="1:11">
      <c r="A74" s="139"/>
      <c r="E74" s="139"/>
      <c r="F74" s="139"/>
      <c r="I74" s="139"/>
      <c r="J74" s="139"/>
      <c r="K74" s="140"/>
    </row>
    <row r="75" spans="1:11">
      <c r="A75" s="128"/>
      <c r="B75" s="129" t="s">
        <v>1691</v>
      </c>
      <c r="C75" s="129" t="s">
        <v>1692</v>
      </c>
      <c r="D75" s="129" t="s">
        <v>1693</v>
      </c>
      <c r="E75" s="130" t="s">
        <v>0</v>
      </c>
      <c r="F75" s="130" t="s">
        <v>1694</v>
      </c>
      <c r="G75" s="129"/>
      <c r="H75" s="129" t="s">
        <v>1695</v>
      </c>
      <c r="I75" s="130" t="s">
        <v>1696</v>
      </c>
      <c r="J75" s="130" t="s">
        <v>1697</v>
      </c>
      <c r="K75" s="131" t="s">
        <v>1698</v>
      </c>
    </row>
    <row r="76" spans="1:11" ht="50.1" customHeight="1">
      <c r="A76" s="132" t="s">
        <v>1724</v>
      </c>
      <c r="B76" s="133" t="s">
        <v>1700</v>
      </c>
      <c r="C76" s="133" t="s">
        <v>698</v>
      </c>
      <c r="D76" s="133">
        <v>97638</v>
      </c>
      <c r="E76" s="134" t="s">
        <v>641</v>
      </c>
      <c r="F76" s="134" t="s">
        <v>638</v>
      </c>
      <c r="G76" s="133"/>
      <c r="H76" s="133" t="s">
        <v>421</v>
      </c>
      <c r="I76" s="134"/>
      <c r="J76" s="146"/>
      <c r="K76" s="135">
        <f>SUM(K77:K78)</f>
        <v>9.819585</v>
      </c>
    </row>
    <row r="77" spans="1:11">
      <c r="A77" s="136" t="s">
        <v>1208</v>
      </c>
      <c r="B77" s="137" t="s">
        <v>1705</v>
      </c>
      <c r="C77" s="137" t="s">
        <v>698</v>
      </c>
      <c r="D77" s="137">
        <v>88278</v>
      </c>
      <c r="E77" s="136" t="s">
        <v>444</v>
      </c>
      <c r="F77" s="1033" t="s">
        <v>1706</v>
      </c>
      <c r="G77" s="1034"/>
      <c r="H77" s="137" t="s">
        <v>412</v>
      </c>
      <c r="I77" s="136">
        <v>0.1186</v>
      </c>
      <c r="J77" s="136">
        <v>32.74</v>
      </c>
      <c r="K77" s="138">
        <f>I77*J77</f>
        <v>3.8829640000000003</v>
      </c>
    </row>
    <row r="78" spans="1:11">
      <c r="A78" s="136" t="s">
        <v>1208</v>
      </c>
      <c r="B78" s="137" t="s">
        <v>1705</v>
      </c>
      <c r="C78" s="137" t="s">
        <v>698</v>
      </c>
      <c r="D78" s="137">
        <v>88316</v>
      </c>
      <c r="E78" s="136" t="s">
        <v>414</v>
      </c>
      <c r="F78" s="1033" t="s">
        <v>1706</v>
      </c>
      <c r="G78" s="1034"/>
      <c r="H78" s="137" t="s">
        <v>412</v>
      </c>
      <c r="I78" s="136">
        <v>0.2329</v>
      </c>
      <c r="J78" s="136">
        <v>25.49</v>
      </c>
      <c r="K78" s="138">
        <f>I78*J78</f>
        <v>5.9366209999999997</v>
      </c>
    </row>
    <row r="79" spans="1:11">
      <c r="A79" s="139"/>
      <c r="E79" s="139"/>
      <c r="F79" s="139"/>
      <c r="I79" s="139"/>
      <c r="J79" s="139"/>
      <c r="K79" s="140"/>
    </row>
    <row r="80" spans="1:11">
      <c r="A80" s="128"/>
      <c r="B80" s="129" t="s">
        <v>1691</v>
      </c>
      <c r="C80" s="129" t="s">
        <v>1692</v>
      </c>
      <c r="D80" s="129" t="s">
        <v>1693</v>
      </c>
      <c r="E80" s="130" t="s">
        <v>0</v>
      </c>
      <c r="F80" s="130" t="s">
        <v>1694</v>
      </c>
      <c r="G80" s="129"/>
      <c r="H80" s="129" t="s">
        <v>1695</v>
      </c>
      <c r="I80" s="130" t="s">
        <v>1696</v>
      </c>
      <c r="J80" s="130" t="s">
        <v>1697</v>
      </c>
      <c r="K80" s="131" t="s">
        <v>1698</v>
      </c>
    </row>
    <row r="81" spans="1:11" ht="50.1" customHeight="1">
      <c r="A81" s="132" t="s">
        <v>1725</v>
      </c>
      <c r="B81" s="133" t="s">
        <v>1700</v>
      </c>
      <c r="C81" s="133" t="s">
        <v>698</v>
      </c>
      <c r="D81" s="133">
        <v>97633</v>
      </c>
      <c r="E81" s="134" t="s">
        <v>640</v>
      </c>
      <c r="F81" s="134" t="s">
        <v>638</v>
      </c>
      <c r="G81" s="133"/>
      <c r="H81" s="133" t="s">
        <v>421</v>
      </c>
      <c r="I81" s="134"/>
      <c r="J81" s="146"/>
      <c r="K81" s="135">
        <f>SUM(K82:K83)</f>
        <v>27.155563999999998</v>
      </c>
    </row>
    <row r="82" spans="1:11">
      <c r="A82" s="136" t="s">
        <v>1208</v>
      </c>
      <c r="B82" s="137" t="s">
        <v>1705</v>
      </c>
      <c r="C82" s="137" t="s">
        <v>698</v>
      </c>
      <c r="D82" s="137">
        <v>88256</v>
      </c>
      <c r="E82" s="136" t="s">
        <v>625</v>
      </c>
      <c r="F82" s="1033" t="s">
        <v>1706</v>
      </c>
      <c r="G82" s="1034"/>
      <c r="H82" s="137" t="s">
        <v>412</v>
      </c>
      <c r="I82" s="136">
        <v>0.25530000000000003</v>
      </c>
      <c r="J82" s="144">
        <v>34.53</v>
      </c>
      <c r="K82" s="138">
        <f>I82*J82</f>
        <v>8.8155090000000005</v>
      </c>
    </row>
    <row r="83" spans="1:11">
      <c r="A83" s="136" t="s">
        <v>1208</v>
      </c>
      <c r="B83" s="137" t="s">
        <v>1705</v>
      </c>
      <c r="C83" s="137" t="s">
        <v>698</v>
      </c>
      <c r="D83" s="137">
        <v>88316</v>
      </c>
      <c r="E83" s="136" t="s">
        <v>414</v>
      </c>
      <c r="F83" s="1033" t="s">
        <v>1706</v>
      </c>
      <c r="G83" s="1034"/>
      <c r="H83" s="137" t="s">
        <v>412</v>
      </c>
      <c r="I83" s="136">
        <v>0.71950000000000003</v>
      </c>
      <c r="J83" s="144">
        <v>25.49</v>
      </c>
      <c r="K83" s="138">
        <f>I83*J83</f>
        <v>18.340055</v>
      </c>
    </row>
    <row r="84" spans="1:11">
      <c r="A84" s="139"/>
      <c r="E84" s="139"/>
      <c r="F84" s="139"/>
      <c r="I84" s="139"/>
      <c r="J84" s="139"/>
      <c r="K84" s="140"/>
    </row>
    <row r="85" spans="1:11">
      <c r="A85" s="128"/>
      <c r="B85" s="129" t="s">
        <v>1691</v>
      </c>
      <c r="C85" s="129" t="s">
        <v>1692</v>
      </c>
      <c r="D85" s="129" t="s">
        <v>1693</v>
      </c>
      <c r="E85" s="130" t="s">
        <v>0</v>
      </c>
      <c r="F85" s="130" t="s">
        <v>1694</v>
      </c>
      <c r="G85" s="129"/>
      <c r="H85" s="129" t="s">
        <v>1695</v>
      </c>
      <c r="I85" s="130" t="s">
        <v>1696</v>
      </c>
      <c r="J85" s="130" t="s">
        <v>1697</v>
      </c>
      <c r="K85" s="131" t="s">
        <v>1698</v>
      </c>
    </row>
    <row r="86" spans="1:11" ht="50.1" customHeight="1">
      <c r="A86" s="132" t="s">
        <v>1726</v>
      </c>
      <c r="B86" s="133" t="s">
        <v>1700</v>
      </c>
      <c r="C86" s="133" t="s">
        <v>698</v>
      </c>
      <c r="D86" s="133">
        <v>97633</v>
      </c>
      <c r="E86" s="134" t="s">
        <v>640</v>
      </c>
      <c r="F86" s="134" t="s">
        <v>638</v>
      </c>
      <c r="G86" s="133"/>
      <c r="H86" s="133" t="s">
        <v>421</v>
      </c>
      <c r="I86" s="134"/>
      <c r="J86" s="146"/>
      <c r="K86" s="135">
        <f>SUM(K87:K88)</f>
        <v>27.155563999999998</v>
      </c>
    </row>
    <row r="87" spans="1:11">
      <c r="A87" s="136" t="s">
        <v>1208</v>
      </c>
      <c r="B87" s="137" t="s">
        <v>1705</v>
      </c>
      <c r="C87" s="137" t="s">
        <v>698</v>
      </c>
      <c r="D87" s="137">
        <v>88256</v>
      </c>
      <c r="E87" s="136" t="s">
        <v>625</v>
      </c>
      <c r="F87" s="1033" t="s">
        <v>1706</v>
      </c>
      <c r="G87" s="1034"/>
      <c r="H87" s="137" t="s">
        <v>412</v>
      </c>
      <c r="I87" s="136">
        <v>0.25530000000000003</v>
      </c>
      <c r="J87" s="136">
        <v>34.53</v>
      </c>
      <c r="K87" s="138">
        <f>I87*J87</f>
        <v>8.8155090000000005</v>
      </c>
    </row>
    <row r="88" spans="1:11">
      <c r="A88" s="136" t="s">
        <v>1208</v>
      </c>
      <c r="B88" s="137" t="s">
        <v>1705</v>
      </c>
      <c r="C88" s="137" t="s">
        <v>698</v>
      </c>
      <c r="D88" s="137">
        <v>88316</v>
      </c>
      <c r="E88" s="136" t="s">
        <v>414</v>
      </c>
      <c r="F88" s="1033" t="s">
        <v>1706</v>
      </c>
      <c r="G88" s="1034"/>
      <c r="H88" s="137" t="s">
        <v>412</v>
      </c>
      <c r="I88" s="136">
        <v>0.71950000000000003</v>
      </c>
      <c r="J88" s="136">
        <v>25.49</v>
      </c>
      <c r="K88" s="138">
        <f>I88*J88</f>
        <v>18.340055</v>
      </c>
    </row>
    <row r="89" spans="1:11">
      <c r="A89" s="139"/>
      <c r="E89" s="139"/>
      <c r="F89" s="139"/>
      <c r="I89" s="139"/>
      <c r="J89" s="139"/>
      <c r="K89" s="140"/>
    </row>
    <row r="90" spans="1:11">
      <c r="A90" s="128"/>
      <c r="B90" s="129" t="s">
        <v>1691</v>
      </c>
      <c r="C90" s="129" t="s">
        <v>1692</v>
      </c>
      <c r="D90" s="129" t="s">
        <v>1693</v>
      </c>
      <c r="E90" s="130" t="s">
        <v>0</v>
      </c>
      <c r="F90" s="130" t="s">
        <v>1694</v>
      </c>
      <c r="G90" s="129"/>
      <c r="H90" s="129" t="s">
        <v>1695</v>
      </c>
      <c r="I90" s="130" t="s">
        <v>1696</v>
      </c>
      <c r="J90" s="130" t="s">
        <v>1697</v>
      </c>
      <c r="K90" s="131" t="s">
        <v>1698</v>
      </c>
    </row>
    <row r="91" spans="1:11" ht="50.1" customHeight="1">
      <c r="A91" s="132" t="s">
        <v>1727</v>
      </c>
      <c r="B91" s="133" t="s">
        <v>1700</v>
      </c>
      <c r="C91" s="133" t="s">
        <v>698</v>
      </c>
      <c r="D91" s="133">
        <v>97631</v>
      </c>
      <c r="E91" s="134" t="s">
        <v>639</v>
      </c>
      <c r="F91" s="134" t="s">
        <v>638</v>
      </c>
      <c r="G91" s="133"/>
      <c r="H91" s="133" t="s">
        <v>421</v>
      </c>
      <c r="I91" s="134"/>
      <c r="J91" s="146"/>
      <c r="K91" s="135">
        <f>SUM(K92:K93)</f>
        <v>3.9052069999999999</v>
      </c>
    </row>
    <row r="92" spans="1:11">
      <c r="A92" s="136" t="s">
        <v>1208</v>
      </c>
      <c r="B92" s="137" t="s">
        <v>1705</v>
      </c>
      <c r="C92" s="137" t="s">
        <v>698</v>
      </c>
      <c r="D92" s="137">
        <v>88309</v>
      </c>
      <c r="E92" s="136" t="s">
        <v>445</v>
      </c>
      <c r="F92" s="1033" t="s">
        <v>1706</v>
      </c>
      <c r="G92" s="1034"/>
      <c r="H92" s="137" t="s">
        <v>412</v>
      </c>
      <c r="I92" s="136">
        <v>3.7400000000000003E-2</v>
      </c>
      <c r="J92" s="136">
        <v>32.65</v>
      </c>
      <c r="K92" s="138">
        <f>I92*J92</f>
        <v>1.2211100000000001</v>
      </c>
    </row>
    <row r="93" spans="1:11">
      <c r="A93" s="136" t="s">
        <v>1208</v>
      </c>
      <c r="B93" s="137" t="s">
        <v>1705</v>
      </c>
      <c r="C93" s="137" t="s">
        <v>698</v>
      </c>
      <c r="D93" s="137">
        <v>88316</v>
      </c>
      <c r="E93" s="136" t="s">
        <v>414</v>
      </c>
      <c r="F93" s="1033" t="s">
        <v>1706</v>
      </c>
      <c r="G93" s="1034"/>
      <c r="H93" s="137" t="s">
        <v>412</v>
      </c>
      <c r="I93" s="136">
        <v>0.1053</v>
      </c>
      <c r="J93" s="136">
        <v>25.49</v>
      </c>
      <c r="K93" s="138">
        <f>I93*J93</f>
        <v>2.684097</v>
      </c>
    </row>
    <row r="94" spans="1:11">
      <c r="A94" s="139"/>
      <c r="E94" s="139"/>
      <c r="F94" s="139"/>
      <c r="I94" s="139"/>
      <c r="J94" s="139"/>
      <c r="K94" s="140"/>
    </row>
    <row r="95" spans="1:11">
      <c r="A95" s="128"/>
      <c r="B95" s="129" t="s">
        <v>1691</v>
      </c>
      <c r="C95" s="129" t="s">
        <v>1692</v>
      </c>
      <c r="D95" s="129" t="s">
        <v>1693</v>
      </c>
      <c r="E95" s="130" t="s">
        <v>0</v>
      </c>
      <c r="F95" s="130" t="s">
        <v>1694</v>
      </c>
      <c r="G95" s="129"/>
      <c r="H95" s="129" t="s">
        <v>1695</v>
      </c>
      <c r="I95" s="130" t="s">
        <v>1696</v>
      </c>
      <c r="J95" s="130" t="s">
        <v>1697</v>
      </c>
      <c r="K95" s="131" t="s">
        <v>1698</v>
      </c>
    </row>
    <row r="96" spans="1:11" ht="50.1" customHeight="1">
      <c r="A96" s="132" t="s">
        <v>1728</v>
      </c>
      <c r="B96" s="133" t="s">
        <v>1700</v>
      </c>
      <c r="C96" s="133" t="s">
        <v>698</v>
      </c>
      <c r="D96" s="133">
        <v>97643</v>
      </c>
      <c r="E96" s="134" t="s">
        <v>644</v>
      </c>
      <c r="F96" s="134" t="s">
        <v>638</v>
      </c>
      <c r="G96" s="133"/>
      <c r="H96" s="133" t="s">
        <v>421</v>
      </c>
      <c r="I96" s="134"/>
      <c r="J96" s="146"/>
      <c r="K96" s="135">
        <f>SUM(K97:K98)</f>
        <v>28.863273</v>
      </c>
    </row>
    <row r="97" spans="1:11">
      <c r="A97" s="136" t="s">
        <v>1208</v>
      </c>
      <c r="B97" s="137" t="s">
        <v>1705</v>
      </c>
      <c r="C97" s="137" t="s">
        <v>698</v>
      </c>
      <c r="D97" s="137">
        <v>88262</v>
      </c>
      <c r="E97" s="136" t="s">
        <v>427</v>
      </c>
      <c r="F97" s="1033" t="s">
        <v>1706</v>
      </c>
      <c r="G97" s="1034"/>
      <c r="H97" s="137" t="s">
        <v>412</v>
      </c>
      <c r="I97" s="858">
        <v>0.3503</v>
      </c>
      <c r="J97" s="136">
        <v>32.340000000000003</v>
      </c>
      <c r="K97" s="138">
        <f>I97*J97</f>
        <v>11.328702000000002</v>
      </c>
    </row>
    <row r="98" spans="1:11">
      <c r="A98" s="136" t="s">
        <v>1208</v>
      </c>
      <c r="B98" s="137" t="s">
        <v>1705</v>
      </c>
      <c r="C98" s="137" t="s">
        <v>698</v>
      </c>
      <c r="D98" s="137">
        <v>88316</v>
      </c>
      <c r="E98" s="136" t="s">
        <v>414</v>
      </c>
      <c r="F98" s="1033" t="s">
        <v>1706</v>
      </c>
      <c r="G98" s="1034"/>
      <c r="H98" s="137" t="s">
        <v>412</v>
      </c>
      <c r="I98" s="858">
        <v>0.68789999999999996</v>
      </c>
      <c r="J98" s="136">
        <v>25.49</v>
      </c>
      <c r="K98" s="138">
        <f>I98*J98</f>
        <v>17.534570999999996</v>
      </c>
    </row>
    <row r="99" spans="1:11">
      <c r="A99" s="139"/>
      <c r="E99" s="139"/>
      <c r="F99" s="139"/>
      <c r="I99" s="139"/>
      <c r="J99" s="139"/>
      <c r="K99" s="140"/>
    </row>
    <row r="100" spans="1:11">
      <c r="A100" s="128"/>
      <c r="B100" s="129" t="s">
        <v>1691</v>
      </c>
      <c r="C100" s="129" t="s">
        <v>1692</v>
      </c>
      <c r="D100" s="129" t="s">
        <v>1693</v>
      </c>
      <c r="E100" s="130" t="s">
        <v>0</v>
      </c>
      <c r="F100" s="130" t="s">
        <v>1694</v>
      </c>
      <c r="G100" s="129"/>
      <c r="H100" s="129" t="s">
        <v>1695</v>
      </c>
      <c r="I100" s="130" t="s">
        <v>1696</v>
      </c>
      <c r="J100" s="130" t="s">
        <v>1697</v>
      </c>
      <c r="K100" s="131" t="s">
        <v>1698</v>
      </c>
    </row>
    <row r="101" spans="1:11" ht="50.1" customHeight="1">
      <c r="A101" s="132" t="s">
        <v>1729</v>
      </c>
      <c r="B101" s="133" t="s">
        <v>1700</v>
      </c>
      <c r="C101" s="133" t="s">
        <v>698</v>
      </c>
      <c r="D101" s="133">
        <v>97665</v>
      </c>
      <c r="E101" s="134" t="s">
        <v>650</v>
      </c>
      <c r="F101" s="134" t="s">
        <v>638</v>
      </c>
      <c r="G101" s="133"/>
      <c r="H101" s="133" t="s">
        <v>411</v>
      </c>
      <c r="I101" s="134"/>
      <c r="J101" s="143"/>
      <c r="K101" s="135">
        <f>SUM(K102:K103)</f>
        <v>1.5188079999999999</v>
      </c>
    </row>
    <row r="102" spans="1:11">
      <c r="A102" s="136" t="s">
        <v>1208</v>
      </c>
      <c r="B102" s="137" t="s">
        <v>1705</v>
      </c>
      <c r="C102" s="137" t="s">
        <v>698</v>
      </c>
      <c r="D102" s="137">
        <v>88264</v>
      </c>
      <c r="E102" s="136" t="s">
        <v>475</v>
      </c>
      <c r="F102" s="1033" t="s">
        <v>1706</v>
      </c>
      <c r="G102" s="1034"/>
      <c r="H102" s="137" t="s">
        <v>412</v>
      </c>
      <c r="I102" s="136">
        <v>1.83E-2</v>
      </c>
      <c r="J102" s="136">
        <v>32.99</v>
      </c>
      <c r="K102" s="138">
        <f>I102*J102</f>
        <v>0.60371700000000006</v>
      </c>
    </row>
    <row r="103" spans="1:11">
      <c r="A103" s="136" t="s">
        <v>1208</v>
      </c>
      <c r="B103" s="137" t="s">
        <v>1705</v>
      </c>
      <c r="C103" s="137" t="s">
        <v>698</v>
      </c>
      <c r="D103" s="137">
        <v>88316</v>
      </c>
      <c r="E103" s="136" t="s">
        <v>414</v>
      </c>
      <c r="F103" s="1033" t="s">
        <v>1706</v>
      </c>
      <c r="G103" s="1034"/>
      <c r="H103" s="137" t="s">
        <v>412</v>
      </c>
      <c r="I103" s="136">
        <v>3.5900000000000001E-2</v>
      </c>
      <c r="J103" s="136">
        <v>25.49</v>
      </c>
      <c r="K103" s="138">
        <f>I103*J103</f>
        <v>0.91509099999999999</v>
      </c>
    </row>
    <row r="104" spans="1:11">
      <c r="A104" s="139"/>
      <c r="E104" s="139"/>
      <c r="F104" s="139"/>
      <c r="I104" s="139"/>
      <c r="J104" s="139"/>
      <c r="K104" s="140"/>
    </row>
    <row r="105" spans="1:11">
      <c r="A105" s="128"/>
      <c r="B105" s="129" t="s">
        <v>1691</v>
      </c>
      <c r="C105" s="129" t="s">
        <v>1692</v>
      </c>
      <c r="D105" s="129" t="s">
        <v>1693</v>
      </c>
      <c r="E105" s="130" t="s">
        <v>0</v>
      </c>
      <c r="F105" s="130" t="s">
        <v>1694</v>
      </c>
      <c r="G105" s="129"/>
      <c r="H105" s="129" t="s">
        <v>1695</v>
      </c>
      <c r="I105" s="130" t="s">
        <v>1696</v>
      </c>
      <c r="J105" s="130" t="s">
        <v>1697</v>
      </c>
      <c r="K105" s="131" t="s">
        <v>1698</v>
      </c>
    </row>
    <row r="106" spans="1:11" ht="50.1" customHeight="1">
      <c r="A106" s="132" t="s">
        <v>1730</v>
      </c>
      <c r="B106" s="133" t="s">
        <v>1700</v>
      </c>
      <c r="C106" s="133" t="s">
        <v>698</v>
      </c>
      <c r="D106" s="133">
        <v>97664</v>
      </c>
      <c r="E106" s="134" t="s">
        <v>649</v>
      </c>
      <c r="F106" s="134" t="s">
        <v>638</v>
      </c>
      <c r="G106" s="133"/>
      <c r="H106" s="133" t="s">
        <v>411</v>
      </c>
      <c r="I106" s="134"/>
      <c r="J106" s="134"/>
      <c r="K106" s="135">
        <f>SUM(K107:K108)</f>
        <v>1.8022659999999999</v>
      </c>
    </row>
    <row r="107" spans="1:11">
      <c r="A107" s="136" t="s">
        <v>1208</v>
      </c>
      <c r="B107" s="137" t="s">
        <v>1705</v>
      </c>
      <c r="C107" s="137" t="s">
        <v>698</v>
      </c>
      <c r="D107" s="137">
        <v>88267</v>
      </c>
      <c r="E107" s="136" t="s">
        <v>506</v>
      </c>
      <c r="F107" s="1033" t="s">
        <v>1706</v>
      </c>
      <c r="G107" s="1034"/>
      <c r="H107" s="137" t="s">
        <v>412</v>
      </c>
      <c r="I107" s="136">
        <v>2.1899999999999999E-2</v>
      </c>
      <c r="J107" s="136">
        <v>32.130000000000003</v>
      </c>
      <c r="K107" s="138">
        <f>I107*J107</f>
        <v>0.70364700000000002</v>
      </c>
    </row>
    <row r="108" spans="1:11">
      <c r="A108" s="136" t="s">
        <v>1208</v>
      </c>
      <c r="B108" s="137" t="s">
        <v>1705</v>
      </c>
      <c r="C108" s="137" t="s">
        <v>698</v>
      </c>
      <c r="D108" s="137">
        <v>88316</v>
      </c>
      <c r="E108" s="136" t="s">
        <v>414</v>
      </c>
      <c r="F108" s="1033" t="s">
        <v>1706</v>
      </c>
      <c r="G108" s="1034"/>
      <c r="H108" s="137" t="s">
        <v>412</v>
      </c>
      <c r="I108" s="136">
        <v>4.3099999999999999E-2</v>
      </c>
      <c r="J108" s="136">
        <v>25.49</v>
      </c>
      <c r="K108" s="138">
        <f>I108*J108</f>
        <v>1.098619</v>
      </c>
    </row>
    <row r="109" spans="1:11">
      <c r="A109" s="139"/>
      <c r="E109" s="139"/>
      <c r="F109" s="139"/>
      <c r="I109" s="139"/>
      <c r="J109" s="139"/>
      <c r="K109" s="140"/>
    </row>
    <row r="110" spans="1:11">
      <c r="A110" s="128"/>
      <c r="B110" s="129" t="s">
        <v>1691</v>
      </c>
      <c r="C110" s="129" t="s">
        <v>1692</v>
      </c>
      <c r="D110" s="129" t="s">
        <v>1693</v>
      </c>
      <c r="E110" s="130" t="s">
        <v>0</v>
      </c>
      <c r="F110" s="130" t="s">
        <v>1694</v>
      </c>
      <c r="G110" s="129"/>
      <c r="H110" s="129" t="s">
        <v>1695</v>
      </c>
      <c r="I110" s="130" t="s">
        <v>1696</v>
      </c>
      <c r="J110" s="130" t="s">
        <v>1697</v>
      </c>
      <c r="K110" s="131" t="s">
        <v>1698</v>
      </c>
    </row>
    <row r="111" spans="1:11" ht="50.1" customHeight="1">
      <c r="A111" s="132" t="s">
        <v>1731</v>
      </c>
      <c r="B111" s="133" t="s">
        <v>1700</v>
      </c>
      <c r="C111" s="133" t="s">
        <v>698</v>
      </c>
      <c r="D111" s="133">
        <v>97664</v>
      </c>
      <c r="E111" s="134" t="s">
        <v>649</v>
      </c>
      <c r="F111" s="134" t="s">
        <v>638</v>
      </c>
      <c r="G111" s="133"/>
      <c r="H111" s="133" t="s">
        <v>411</v>
      </c>
      <c r="I111" s="134"/>
      <c r="J111" s="146"/>
      <c r="K111" s="135">
        <f>SUM(K112:K113)</f>
        <v>1.8022659999999999</v>
      </c>
    </row>
    <row r="112" spans="1:11">
      <c r="A112" s="136" t="s">
        <v>1208</v>
      </c>
      <c r="B112" s="137" t="s">
        <v>1705</v>
      </c>
      <c r="C112" s="137" t="s">
        <v>698</v>
      </c>
      <c r="D112" s="137">
        <v>88267</v>
      </c>
      <c r="E112" s="136" t="s">
        <v>506</v>
      </c>
      <c r="F112" s="1033" t="s">
        <v>1706</v>
      </c>
      <c r="G112" s="1034"/>
      <c r="H112" s="137" t="s">
        <v>412</v>
      </c>
      <c r="I112" s="136">
        <v>2.1899999999999999E-2</v>
      </c>
      <c r="J112" s="136">
        <v>32.130000000000003</v>
      </c>
      <c r="K112" s="138">
        <f>I112*J112</f>
        <v>0.70364700000000002</v>
      </c>
    </row>
    <row r="113" spans="1:11">
      <c r="A113" s="136" t="s">
        <v>1208</v>
      </c>
      <c r="B113" s="137" t="s">
        <v>1705</v>
      </c>
      <c r="C113" s="137" t="s">
        <v>698</v>
      </c>
      <c r="D113" s="137">
        <v>88316</v>
      </c>
      <c r="E113" s="136" t="s">
        <v>414</v>
      </c>
      <c r="F113" s="1033" t="s">
        <v>1706</v>
      </c>
      <c r="G113" s="1034"/>
      <c r="H113" s="137" t="s">
        <v>412</v>
      </c>
      <c r="I113" s="136">
        <v>4.3099999999999999E-2</v>
      </c>
      <c r="J113" s="136">
        <v>25.49</v>
      </c>
      <c r="K113" s="138">
        <f>I113*J113</f>
        <v>1.098619</v>
      </c>
    </row>
    <row r="114" spans="1:11">
      <c r="A114" s="139"/>
      <c r="E114" s="139"/>
      <c r="F114" s="139"/>
      <c r="I114" s="139"/>
      <c r="J114" s="139"/>
      <c r="K114" s="140"/>
    </row>
    <row r="115" spans="1:11">
      <c r="A115" s="128"/>
      <c r="B115" s="129" t="s">
        <v>1691</v>
      </c>
      <c r="C115" s="129" t="s">
        <v>1692</v>
      </c>
      <c r="D115" s="129" t="s">
        <v>1693</v>
      </c>
      <c r="E115" s="130" t="s">
        <v>0</v>
      </c>
      <c r="F115" s="130" t="s">
        <v>1694</v>
      </c>
      <c r="G115" s="129"/>
      <c r="H115" s="129" t="s">
        <v>1695</v>
      </c>
      <c r="I115" s="130" t="s">
        <v>1696</v>
      </c>
      <c r="J115" s="130" t="s">
        <v>1697</v>
      </c>
      <c r="K115" s="131" t="s">
        <v>1698</v>
      </c>
    </row>
    <row r="116" spans="1:11" ht="50.1" customHeight="1">
      <c r="A116" s="132" t="s">
        <v>1732</v>
      </c>
      <c r="B116" s="133" t="s">
        <v>1700</v>
      </c>
      <c r="C116" s="133" t="s">
        <v>698</v>
      </c>
      <c r="D116" s="133">
        <v>97664</v>
      </c>
      <c r="E116" s="134" t="s">
        <v>649</v>
      </c>
      <c r="F116" s="134" t="s">
        <v>638</v>
      </c>
      <c r="G116" s="133"/>
      <c r="H116" s="133" t="s">
        <v>411</v>
      </c>
      <c r="I116" s="134"/>
      <c r="J116" s="146"/>
      <c r="K116" s="135">
        <f>SUM(K117:K118)</f>
        <v>1.8022659999999999</v>
      </c>
    </row>
    <row r="117" spans="1:11">
      <c r="A117" s="136" t="s">
        <v>1208</v>
      </c>
      <c r="B117" s="137" t="s">
        <v>1705</v>
      </c>
      <c r="C117" s="137" t="s">
        <v>698</v>
      </c>
      <c r="D117" s="137">
        <v>88267</v>
      </c>
      <c r="E117" s="136" t="s">
        <v>506</v>
      </c>
      <c r="F117" s="1033" t="s">
        <v>1706</v>
      </c>
      <c r="G117" s="1034"/>
      <c r="H117" s="137" t="s">
        <v>412</v>
      </c>
      <c r="I117" s="136">
        <v>2.1899999999999999E-2</v>
      </c>
      <c r="J117" s="136">
        <v>32.130000000000003</v>
      </c>
      <c r="K117" s="138">
        <f>I117*J117</f>
        <v>0.70364700000000002</v>
      </c>
    </row>
    <row r="118" spans="1:11">
      <c r="A118" s="136" t="s">
        <v>1208</v>
      </c>
      <c r="B118" s="137" t="s">
        <v>1705</v>
      </c>
      <c r="C118" s="137" t="s">
        <v>698</v>
      </c>
      <c r="D118" s="137">
        <v>88316</v>
      </c>
      <c r="E118" s="136" t="s">
        <v>414</v>
      </c>
      <c r="F118" s="1033" t="s">
        <v>1706</v>
      </c>
      <c r="G118" s="1034"/>
      <c r="H118" s="137" t="s">
        <v>412</v>
      </c>
      <c r="I118" s="136">
        <v>4.3099999999999999E-2</v>
      </c>
      <c r="J118" s="136">
        <v>25.49</v>
      </c>
      <c r="K118" s="138">
        <f>I118*J118</f>
        <v>1.098619</v>
      </c>
    </row>
    <row r="119" spans="1:11">
      <c r="A119" s="139"/>
      <c r="E119" s="139"/>
      <c r="F119" s="139"/>
      <c r="I119" s="139"/>
      <c r="J119" s="139"/>
      <c r="K119" s="140"/>
    </row>
    <row r="120" spans="1:11">
      <c r="A120" s="128"/>
      <c r="B120" s="129" t="s">
        <v>1691</v>
      </c>
      <c r="C120" s="129" t="s">
        <v>1692</v>
      </c>
      <c r="D120" s="129" t="s">
        <v>1693</v>
      </c>
      <c r="E120" s="130" t="s">
        <v>0</v>
      </c>
      <c r="F120" s="130" t="s">
        <v>1694</v>
      </c>
      <c r="G120" s="129"/>
      <c r="H120" s="129" t="s">
        <v>1695</v>
      </c>
      <c r="I120" s="130" t="s">
        <v>1696</v>
      </c>
      <c r="J120" s="130" t="s">
        <v>1697</v>
      </c>
      <c r="K120" s="131" t="s">
        <v>1698</v>
      </c>
    </row>
    <row r="121" spans="1:11" ht="50.1" customHeight="1">
      <c r="A121" s="132" t="s">
        <v>1733</v>
      </c>
      <c r="B121" s="133" t="s">
        <v>1700</v>
      </c>
      <c r="C121" s="133" t="s">
        <v>698</v>
      </c>
      <c r="D121" s="133">
        <v>97663</v>
      </c>
      <c r="E121" s="134" t="s">
        <v>648</v>
      </c>
      <c r="F121" s="134" t="s">
        <v>638</v>
      </c>
      <c r="G121" s="133"/>
      <c r="H121" s="133" t="s">
        <v>411</v>
      </c>
      <c r="I121" s="134"/>
      <c r="J121" s="146"/>
      <c r="K121" s="135">
        <f>SUM(K122:K123)</f>
        <v>14.427766999999999</v>
      </c>
    </row>
    <row r="122" spans="1:11">
      <c r="A122" s="136" t="s">
        <v>1208</v>
      </c>
      <c r="B122" s="137" t="s">
        <v>1705</v>
      </c>
      <c r="C122" s="137" t="s">
        <v>698</v>
      </c>
      <c r="D122" s="137">
        <v>88267</v>
      </c>
      <c r="E122" s="136" t="s">
        <v>506</v>
      </c>
      <c r="F122" s="1033" t="s">
        <v>1706</v>
      </c>
      <c r="G122" s="1034"/>
      <c r="H122" s="137" t="s">
        <v>412</v>
      </c>
      <c r="I122" s="136">
        <v>0.17549999999999999</v>
      </c>
      <c r="J122" s="136">
        <v>32.130000000000003</v>
      </c>
      <c r="K122" s="138">
        <f>I122*J122</f>
        <v>5.6388150000000001</v>
      </c>
    </row>
    <row r="123" spans="1:11">
      <c r="A123" s="136" t="s">
        <v>1208</v>
      </c>
      <c r="B123" s="137" t="s">
        <v>1705</v>
      </c>
      <c r="C123" s="137" t="s">
        <v>698</v>
      </c>
      <c r="D123" s="137">
        <v>88316</v>
      </c>
      <c r="E123" s="136" t="s">
        <v>414</v>
      </c>
      <c r="F123" s="1033" t="s">
        <v>1706</v>
      </c>
      <c r="G123" s="1034"/>
      <c r="H123" s="137" t="s">
        <v>412</v>
      </c>
      <c r="I123" s="136">
        <v>0.3448</v>
      </c>
      <c r="J123" s="136">
        <v>25.49</v>
      </c>
      <c r="K123" s="138">
        <f>I123*J123</f>
        <v>8.7889520000000001</v>
      </c>
    </row>
    <row r="124" spans="1:11">
      <c r="A124" s="139"/>
      <c r="E124" s="139"/>
      <c r="F124" s="139"/>
      <c r="I124" s="139"/>
      <c r="J124" s="139"/>
      <c r="K124" s="140"/>
    </row>
    <row r="125" spans="1:11">
      <c r="A125" s="128"/>
      <c r="B125" s="129" t="s">
        <v>1691</v>
      </c>
      <c r="C125" s="129" t="s">
        <v>1692</v>
      </c>
      <c r="D125" s="129" t="s">
        <v>1693</v>
      </c>
      <c r="E125" s="130" t="s">
        <v>0</v>
      </c>
      <c r="F125" s="130" t="s">
        <v>1694</v>
      </c>
      <c r="G125" s="129"/>
      <c r="H125" s="129" t="s">
        <v>1695</v>
      </c>
      <c r="I125" s="130" t="s">
        <v>1696</v>
      </c>
      <c r="J125" s="130" t="s">
        <v>1697</v>
      </c>
      <c r="K125" s="131" t="s">
        <v>1698</v>
      </c>
    </row>
    <row r="126" spans="1:11" ht="50.1" customHeight="1">
      <c r="A126" s="132" t="s">
        <v>1734</v>
      </c>
      <c r="B126" s="133" t="s">
        <v>1700</v>
      </c>
      <c r="C126" s="133" t="s">
        <v>698</v>
      </c>
      <c r="D126" s="133">
        <v>97662</v>
      </c>
      <c r="E126" s="134" t="s">
        <v>647</v>
      </c>
      <c r="F126" s="134" t="s">
        <v>638</v>
      </c>
      <c r="G126" s="133"/>
      <c r="H126" s="133" t="s">
        <v>405</v>
      </c>
      <c r="I126" s="134"/>
      <c r="J126" s="146"/>
      <c r="K126" s="135">
        <f>SUM(K127:K128)</f>
        <v>0.58498300000000003</v>
      </c>
    </row>
    <row r="127" spans="1:11">
      <c r="A127" s="136" t="s">
        <v>1208</v>
      </c>
      <c r="B127" s="137" t="s">
        <v>1705</v>
      </c>
      <c r="C127" s="137" t="s">
        <v>698</v>
      </c>
      <c r="D127" s="137">
        <v>88267</v>
      </c>
      <c r="E127" s="136" t="s">
        <v>506</v>
      </c>
      <c r="F127" s="1033" t="s">
        <v>1706</v>
      </c>
      <c r="G127" s="1034"/>
      <c r="H127" s="137" t="s">
        <v>412</v>
      </c>
      <c r="I127" s="136">
        <v>7.1000000000000004E-3</v>
      </c>
      <c r="J127" s="136">
        <v>32.130000000000003</v>
      </c>
      <c r="K127" s="138">
        <f>I127*J127</f>
        <v>0.22812300000000002</v>
      </c>
    </row>
    <row r="128" spans="1:11">
      <c r="A128" s="136" t="s">
        <v>1208</v>
      </c>
      <c r="B128" s="137" t="s">
        <v>1705</v>
      </c>
      <c r="C128" s="137" t="s">
        <v>698</v>
      </c>
      <c r="D128" s="137">
        <v>88316</v>
      </c>
      <c r="E128" s="136" t="s">
        <v>414</v>
      </c>
      <c r="F128" s="1033" t="s">
        <v>1706</v>
      </c>
      <c r="G128" s="1034"/>
      <c r="H128" s="137" t="s">
        <v>412</v>
      </c>
      <c r="I128" s="136">
        <v>1.4E-2</v>
      </c>
      <c r="J128" s="136">
        <v>25.49</v>
      </c>
      <c r="K128" s="138">
        <f>I128*J128</f>
        <v>0.35686000000000001</v>
      </c>
    </row>
    <row r="129" spans="1:11">
      <c r="A129" s="139"/>
      <c r="E129" s="139"/>
      <c r="F129" s="139"/>
      <c r="I129" s="139"/>
      <c r="J129" s="139"/>
      <c r="K129" s="140"/>
    </row>
    <row r="130" spans="1:11">
      <c r="A130" s="128"/>
      <c r="B130" s="129" t="s">
        <v>1691</v>
      </c>
      <c r="C130" s="129" t="s">
        <v>1692</v>
      </c>
      <c r="D130" s="129" t="s">
        <v>1693</v>
      </c>
      <c r="E130" s="130" t="s">
        <v>0</v>
      </c>
      <c r="F130" s="130" t="s">
        <v>1694</v>
      </c>
      <c r="G130" s="129"/>
      <c r="H130" s="129" t="s">
        <v>1695</v>
      </c>
      <c r="I130" s="130" t="s">
        <v>1696</v>
      </c>
      <c r="J130" s="130" t="s">
        <v>1697</v>
      </c>
      <c r="K130" s="131" t="s">
        <v>1698</v>
      </c>
    </row>
    <row r="131" spans="1:11" ht="50.1" customHeight="1">
      <c r="A131" s="132" t="s">
        <v>1735</v>
      </c>
      <c r="B131" s="133" t="s">
        <v>1700</v>
      </c>
      <c r="C131" s="133" t="s">
        <v>698</v>
      </c>
      <c r="D131" s="133">
        <v>97660</v>
      </c>
      <c r="E131" s="134" t="s">
        <v>646</v>
      </c>
      <c r="F131" s="134" t="s">
        <v>638</v>
      </c>
      <c r="G131" s="133"/>
      <c r="H131" s="133" t="s">
        <v>411</v>
      </c>
      <c r="I131" s="134"/>
      <c r="J131" s="146"/>
      <c r="K131" s="135">
        <f>SUM(K132:K133)</f>
        <v>0.79006799999999999</v>
      </c>
    </row>
    <row r="132" spans="1:11">
      <c r="A132" s="136" t="s">
        <v>1208</v>
      </c>
      <c r="B132" s="137" t="s">
        <v>1705</v>
      </c>
      <c r="C132" s="137" t="s">
        <v>698</v>
      </c>
      <c r="D132" s="137">
        <v>88264</v>
      </c>
      <c r="E132" s="136" t="s">
        <v>475</v>
      </c>
      <c r="F132" s="1033" t="s">
        <v>1706</v>
      </c>
      <c r="G132" s="1034"/>
      <c r="H132" s="137" t="s">
        <v>412</v>
      </c>
      <c r="I132" s="136">
        <v>9.4999999999999998E-3</v>
      </c>
      <c r="J132" s="136">
        <v>32.99</v>
      </c>
      <c r="K132" s="138">
        <f>I132*J132</f>
        <v>0.31340499999999999</v>
      </c>
    </row>
    <row r="133" spans="1:11">
      <c r="A133" s="136" t="s">
        <v>1208</v>
      </c>
      <c r="B133" s="137" t="s">
        <v>1705</v>
      </c>
      <c r="C133" s="137" t="s">
        <v>698</v>
      </c>
      <c r="D133" s="137">
        <v>88316</v>
      </c>
      <c r="E133" s="136" t="s">
        <v>414</v>
      </c>
      <c r="F133" s="1033" t="s">
        <v>1706</v>
      </c>
      <c r="G133" s="1034"/>
      <c r="H133" s="137" t="s">
        <v>412</v>
      </c>
      <c r="I133" s="136">
        <v>1.8700000000000001E-2</v>
      </c>
      <c r="J133" s="136">
        <v>25.49</v>
      </c>
      <c r="K133" s="138">
        <f>I133*J133</f>
        <v>0.476663</v>
      </c>
    </row>
    <row r="134" spans="1:11">
      <c r="A134" s="139"/>
      <c r="E134" s="139"/>
      <c r="F134" s="139"/>
      <c r="I134" s="139"/>
      <c r="J134" s="139"/>
      <c r="K134" s="140"/>
    </row>
    <row r="135" spans="1:11">
      <c r="A135" s="128"/>
      <c r="B135" s="129" t="s">
        <v>1691</v>
      </c>
      <c r="C135" s="129" t="s">
        <v>1692</v>
      </c>
      <c r="D135" s="129" t="s">
        <v>1693</v>
      </c>
      <c r="E135" s="130" t="s">
        <v>0</v>
      </c>
      <c r="F135" s="130" t="s">
        <v>1694</v>
      </c>
      <c r="G135" s="129"/>
      <c r="H135" s="129" t="s">
        <v>1695</v>
      </c>
      <c r="I135" s="130" t="s">
        <v>1696</v>
      </c>
      <c r="J135" s="130" t="s">
        <v>1697</v>
      </c>
      <c r="K135" s="131" t="s">
        <v>1698</v>
      </c>
    </row>
    <row r="136" spans="1:11" ht="50.1" customHeight="1">
      <c r="A136" s="132" t="s">
        <v>1736</v>
      </c>
      <c r="B136" s="133" t="s">
        <v>1700</v>
      </c>
      <c r="C136" s="133" t="s">
        <v>698</v>
      </c>
      <c r="D136" s="133">
        <v>100973</v>
      </c>
      <c r="E136" s="134" t="s">
        <v>467</v>
      </c>
      <c r="F136" s="134" t="s">
        <v>651</v>
      </c>
      <c r="G136" s="133"/>
      <c r="H136" s="133" t="s">
        <v>417</v>
      </c>
      <c r="I136" s="134"/>
      <c r="J136" s="146"/>
      <c r="K136" s="135">
        <f>SUM(K137:K140)</f>
        <v>9.2919289999999997</v>
      </c>
    </row>
    <row r="137" spans="1:11" ht="24.75">
      <c r="A137" s="136" t="s">
        <v>1208</v>
      </c>
      <c r="B137" s="137" t="s">
        <v>1705</v>
      </c>
      <c r="C137" s="137" t="s">
        <v>698</v>
      </c>
      <c r="D137" s="137">
        <v>5940</v>
      </c>
      <c r="E137" s="136" t="s">
        <v>433</v>
      </c>
      <c r="F137" s="1033" t="s">
        <v>1737</v>
      </c>
      <c r="G137" s="1034"/>
      <c r="H137" s="137" t="s">
        <v>407</v>
      </c>
      <c r="I137" s="136">
        <v>8.3000000000000001E-3</v>
      </c>
      <c r="J137" s="136">
        <v>225.64</v>
      </c>
      <c r="K137" s="138">
        <f>I137*J137</f>
        <v>1.8728119999999999</v>
      </c>
    </row>
    <row r="138" spans="1:11" ht="24.75">
      <c r="A138" s="136" t="s">
        <v>1208</v>
      </c>
      <c r="B138" s="137" t="s">
        <v>1705</v>
      </c>
      <c r="C138" s="137" t="s">
        <v>698</v>
      </c>
      <c r="D138" s="137">
        <v>5942</v>
      </c>
      <c r="E138" s="136" t="s">
        <v>436</v>
      </c>
      <c r="F138" s="1033" t="s">
        <v>1737</v>
      </c>
      <c r="G138" s="1034"/>
      <c r="H138" s="137" t="s">
        <v>408</v>
      </c>
      <c r="I138" s="136">
        <v>1.5100000000000001E-2</v>
      </c>
      <c r="J138" s="136">
        <v>89.31</v>
      </c>
      <c r="K138" s="138">
        <f>I138*J138</f>
        <v>1.348581</v>
      </c>
    </row>
    <row r="139" spans="1:11" ht="36.75">
      <c r="A139" s="136" t="s">
        <v>1208</v>
      </c>
      <c r="B139" s="137" t="s">
        <v>1705</v>
      </c>
      <c r="C139" s="137" t="s">
        <v>698</v>
      </c>
      <c r="D139" s="137">
        <v>67826</v>
      </c>
      <c r="E139" s="136" t="s">
        <v>434</v>
      </c>
      <c r="F139" s="1033" t="s">
        <v>1737</v>
      </c>
      <c r="G139" s="1034"/>
      <c r="H139" s="137" t="s">
        <v>407</v>
      </c>
      <c r="I139" s="136">
        <v>2.6700000000000002E-2</v>
      </c>
      <c r="J139" s="136">
        <v>184.48</v>
      </c>
      <c r="K139" s="138">
        <f t="shared" ref="K139:K140" si="5">I139*J139</f>
        <v>4.9256159999999998</v>
      </c>
    </row>
    <row r="140" spans="1:11" ht="36.75">
      <c r="A140" s="136" t="s">
        <v>1208</v>
      </c>
      <c r="B140" s="137" t="s">
        <v>1705</v>
      </c>
      <c r="C140" s="137" t="s">
        <v>698</v>
      </c>
      <c r="D140" s="137">
        <v>67827</v>
      </c>
      <c r="E140" s="136" t="s">
        <v>437</v>
      </c>
      <c r="F140" s="1033" t="s">
        <v>1737</v>
      </c>
      <c r="G140" s="1034"/>
      <c r="H140" s="137" t="s">
        <v>408</v>
      </c>
      <c r="I140" s="136">
        <v>2.0299999999999999E-2</v>
      </c>
      <c r="J140" s="136">
        <v>56.4</v>
      </c>
      <c r="K140" s="138">
        <f t="shared" si="5"/>
        <v>1.1449199999999999</v>
      </c>
    </row>
    <row r="141" spans="1:11">
      <c r="A141" s="139"/>
      <c r="E141" s="139"/>
      <c r="F141" s="139"/>
      <c r="I141" s="139"/>
      <c r="J141" s="139"/>
      <c r="K141" s="140"/>
    </row>
    <row r="142" spans="1:11">
      <c r="A142" s="128"/>
      <c r="B142" s="129" t="s">
        <v>1691</v>
      </c>
      <c r="C142" s="129" t="s">
        <v>1692</v>
      </c>
      <c r="D142" s="129" t="s">
        <v>1693</v>
      </c>
      <c r="E142" s="130" t="s">
        <v>0</v>
      </c>
      <c r="F142" s="130" t="s">
        <v>1694</v>
      </c>
      <c r="G142" s="129"/>
      <c r="H142" s="129" t="s">
        <v>1695</v>
      </c>
      <c r="I142" s="130" t="s">
        <v>1696</v>
      </c>
      <c r="J142" s="130" t="s">
        <v>1697</v>
      </c>
      <c r="K142" s="131" t="s">
        <v>1698</v>
      </c>
    </row>
    <row r="143" spans="1:11" ht="50.1" customHeight="1">
      <c r="A143" s="132" t="s">
        <v>1738</v>
      </c>
      <c r="B143" s="133" t="s">
        <v>1700</v>
      </c>
      <c r="C143" s="133" t="s">
        <v>698</v>
      </c>
      <c r="D143" s="133">
        <v>97912</v>
      </c>
      <c r="E143" s="134" t="s">
        <v>652</v>
      </c>
      <c r="F143" s="134" t="s">
        <v>1739</v>
      </c>
      <c r="G143" s="133"/>
      <c r="H143" s="133" t="s">
        <v>466</v>
      </c>
      <c r="I143" s="134"/>
      <c r="J143" s="146"/>
      <c r="K143" s="135">
        <f>SUM(K144:K145)</f>
        <v>3.6514000000000002</v>
      </c>
    </row>
    <row r="144" spans="1:11" ht="36.75">
      <c r="A144" s="136" t="s">
        <v>1208</v>
      </c>
      <c r="B144" s="137" t="s">
        <v>1705</v>
      </c>
      <c r="C144" s="137" t="s">
        <v>698</v>
      </c>
      <c r="D144" s="137">
        <v>67826</v>
      </c>
      <c r="E144" s="136" t="s">
        <v>434</v>
      </c>
      <c r="F144" s="1033" t="s">
        <v>1737</v>
      </c>
      <c r="G144" s="1034"/>
      <c r="H144" s="137" t="s">
        <v>407</v>
      </c>
      <c r="I144" s="136">
        <v>1.7500000000000002E-2</v>
      </c>
      <c r="J144" s="136">
        <v>184.48</v>
      </c>
      <c r="K144" s="138">
        <f>I144*J144</f>
        <v>3.2284000000000002</v>
      </c>
    </row>
    <row r="145" spans="1:12" ht="36.75">
      <c r="A145" s="136" t="s">
        <v>1208</v>
      </c>
      <c r="B145" s="137" t="s">
        <v>1705</v>
      </c>
      <c r="C145" s="137" t="s">
        <v>698</v>
      </c>
      <c r="D145" s="137">
        <v>67827</v>
      </c>
      <c r="E145" s="136" t="s">
        <v>437</v>
      </c>
      <c r="F145" s="1033" t="s">
        <v>1737</v>
      </c>
      <c r="G145" s="1034"/>
      <c r="H145" s="137" t="s">
        <v>408</v>
      </c>
      <c r="I145" s="136">
        <v>7.4999999999999997E-3</v>
      </c>
      <c r="J145" s="136">
        <v>56.4</v>
      </c>
      <c r="K145" s="138">
        <f>I145*J145</f>
        <v>0.42299999999999999</v>
      </c>
    </row>
    <row r="146" spans="1:12">
      <c r="A146" s="139"/>
      <c r="E146" s="139"/>
      <c r="F146" s="139"/>
      <c r="I146" s="139"/>
      <c r="J146" s="139"/>
      <c r="K146" s="140"/>
    </row>
    <row r="147" spans="1:12" ht="19.5" customHeight="1">
      <c r="A147" s="128"/>
      <c r="B147" s="129" t="s">
        <v>1691</v>
      </c>
      <c r="C147" s="129" t="s">
        <v>1692</v>
      </c>
      <c r="D147" s="129" t="s">
        <v>1693</v>
      </c>
      <c r="E147" s="130" t="s">
        <v>0</v>
      </c>
      <c r="F147" s="130" t="s">
        <v>1694</v>
      </c>
      <c r="G147" s="129"/>
      <c r="H147" s="129" t="s">
        <v>1695</v>
      </c>
      <c r="I147" s="130" t="s">
        <v>1696</v>
      </c>
      <c r="J147" s="130" t="s">
        <v>1697</v>
      </c>
      <c r="K147" s="131" t="s">
        <v>1698</v>
      </c>
    </row>
    <row r="148" spans="1:12" ht="66" customHeight="1">
      <c r="A148" s="132" t="s">
        <v>1740</v>
      </c>
      <c r="B148" s="133" t="s">
        <v>1700</v>
      </c>
      <c r="C148" s="133" t="s">
        <v>698</v>
      </c>
      <c r="D148" s="133">
        <v>87473</v>
      </c>
      <c r="E148" s="134" t="s">
        <v>603</v>
      </c>
      <c r="F148" s="134" t="s">
        <v>602</v>
      </c>
      <c r="G148" s="133"/>
      <c r="H148" s="133" t="s">
        <v>421</v>
      </c>
      <c r="I148" s="134"/>
      <c r="J148" s="146"/>
      <c r="K148" s="135">
        <f>SUM(K149:K154)</f>
        <v>85.399211999999991</v>
      </c>
      <c r="L148" s="147"/>
    </row>
    <row r="149" spans="1:12" ht="24.75">
      <c r="A149" s="136" t="s">
        <v>1208</v>
      </c>
      <c r="B149" s="137" t="s">
        <v>792</v>
      </c>
      <c r="C149" s="137" t="s">
        <v>698</v>
      </c>
      <c r="D149" s="137">
        <v>34547</v>
      </c>
      <c r="E149" s="136" t="s">
        <v>604</v>
      </c>
      <c r="F149" s="1033" t="s">
        <v>1703</v>
      </c>
      <c r="G149" s="1034"/>
      <c r="H149" s="137" t="s">
        <v>405</v>
      </c>
      <c r="I149" s="136">
        <v>0.78500000000000003</v>
      </c>
      <c r="J149" s="136">
        <v>4.76</v>
      </c>
      <c r="K149" s="138">
        <f>I149*J149</f>
        <v>3.7366000000000001</v>
      </c>
    </row>
    <row r="150" spans="1:12">
      <c r="A150" s="136" t="s">
        <v>1208</v>
      </c>
      <c r="B150" s="137" t="s">
        <v>792</v>
      </c>
      <c r="C150" s="137" t="s">
        <v>698</v>
      </c>
      <c r="D150" s="137">
        <v>37395</v>
      </c>
      <c r="E150" s="136" t="s">
        <v>1741</v>
      </c>
      <c r="F150" s="1033" t="s">
        <v>1703</v>
      </c>
      <c r="G150" s="1034"/>
      <c r="H150" s="137" t="s">
        <v>439</v>
      </c>
      <c r="I150" s="136">
        <v>1.89E-2</v>
      </c>
      <c r="J150" s="136">
        <v>50.2</v>
      </c>
      <c r="K150" s="138">
        <f t="shared" ref="K150:K154" si="6">I150*J150</f>
        <v>0.94878000000000007</v>
      </c>
    </row>
    <row r="151" spans="1:12">
      <c r="A151" s="136" t="s">
        <v>1208</v>
      </c>
      <c r="B151" s="137" t="s">
        <v>792</v>
      </c>
      <c r="C151" s="137" t="s">
        <v>698</v>
      </c>
      <c r="D151" s="137">
        <v>37593</v>
      </c>
      <c r="E151" s="136" t="s">
        <v>605</v>
      </c>
      <c r="F151" s="1033" t="s">
        <v>1703</v>
      </c>
      <c r="G151" s="1034"/>
      <c r="H151" s="137" t="s">
        <v>411</v>
      </c>
      <c r="I151" s="136">
        <v>13.35</v>
      </c>
      <c r="J151" s="136">
        <v>2.63</v>
      </c>
      <c r="K151" s="138">
        <f t="shared" si="6"/>
        <v>35.110499999999995</v>
      </c>
    </row>
    <row r="152" spans="1:12" ht="36.75">
      <c r="A152" s="136" t="s">
        <v>1208</v>
      </c>
      <c r="B152" s="137" t="s">
        <v>1705</v>
      </c>
      <c r="C152" s="137" t="s">
        <v>698</v>
      </c>
      <c r="D152" s="137">
        <v>87292</v>
      </c>
      <c r="E152" s="136" t="s">
        <v>468</v>
      </c>
      <c r="F152" s="1033" t="s">
        <v>1706</v>
      </c>
      <c r="G152" s="1034"/>
      <c r="H152" s="137" t="s">
        <v>417</v>
      </c>
      <c r="I152" s="136">
        <v>1.18E-2</v>
      </c>
      <c r="J152" s="136">
        <v>556.24</v>
      </c>
      <c r="K152" s="138">
        <f t="shared" si="6"/>
        <v>6.5636320000000001</v>
      </c>
    </row>
    <row r="153" spans="1:12">
      <c r="A153" s="136" t="s">
        <v>1208</v>
      </c>
      <c r="B153" s="137" t="s">
        <v>1705</v>
      </c>
      <c r="C153" s="137" t="s">
        <v>698</v>
      </c>
      <c r="D153" s="137">
        <v>88309</v>
      </c>
      <c r="E153" s="136" t="s">
        <v>445</v>
      </c>
      <c r="F153" s="1033" t="s">
        <v>1706</v>
      </c>
      <c r="G153" s="1034"/>
      <c r="H153" s="137" t="s">
        <v>412</v>
      </c>
      <c r="I153" s="136">
        <v>0.86</v>
      </c>
      <c r="J153" s="136">
        <v>32.65</v>
      </c>
      <c r="K153" s="138">
        <f t="shared" si="6"/>
        <v>28.078999999999997</v>
      </c>
    </row>
    <row r="154" spans="1:12">
      <c r="A154" s="136" t="s">
        <v>1208</v>
      </c>
      <c r="B154" s="137" t="s">
        <v>1705</v>
      </c>
      <c r="C154" s="137" t="s">
        <v>698</v>
      </c>
      <c r="D154" s="137">
        <v>88316</v>
      </c>
      <c r="E154" s="136" t="s">
        <v>414</v>
      </c>
      <c r="F154" s="1033" t="s">
        <v>1706</v>
      </c>
      <c r="G154" s="1034"/>
      <c r="H154" s="137" t="s">
        <v>412</v>
      </c>
      <c r="I154" s="136">
        <v>0.43</v>
      </c>
      <c r="J154" s="136">
        <v>25.49</v>
      </c>
      <c r="K154" s="138">
        <f t="shared" si="6"/>
        <v>10.960699999999999</v>
      </c>
    </row>
    <row r="155" spans="1:12">
      <c r="A155" s="139"/>
      <c r="E155" s="139"/>
      <c r="F155" s="139"/>
      <c r="I155" s="139"/>
      <c r="J155" s="139"/>
      <c r="K155" s="140"/>
    </row>
    <row r="156" spans="1:12">
      <c r="A156" s="128"/>
      <c r="B156" s="129" t="s">
        <v>1691</v>
      </c>
      <c r="C156" s="129" t="s">
        <v>1692</v>
      </c>
      <c r="D156" s="129" t="s">
        <v>1693</v>
      </c>
      <c r="E156" s="130" t="s">
        <v>0</v>
      </c>
      <c r="F156" s="130" t="s">
        <v>1694</v>
      </c>
      <c r="G156" s="129"/>
      <c r="H156" s="129" t="s">
        <v>1695</v>
      </c>
      <c r="I156" s="130" t="s">
        <v>1696</v>
      </c>
      <c r="J156" s="130" t="s">
        <v>1697</v>
      </c>
      <c r="K156" s="131" t="s">
        <v>1698</v>
      </c>
    </row>
    <row r="157" spans="1:12" ht="50.1" customHeight="1">
      <c r="A157" s="132" t="s">
        <v>1742</v>
      </c>
      <c r="B157" s="133" t="s">
        <v>1700</v>
      </c>
      <c r="C157" s="133" t="s">
        <v>698</v>
      </c>
      <c r="D157" s="133">
        <v>87878</v>
      </c>
      <c r="E157" s="134" t="s">
        <v>630</v>
      </c>
      <c r="F157" s="134" t="s">
        <v>629</v>
      </c>
      <c r="G157" s="133"/>
      <c r="H157" s="133" t="s">
        <v>421</v>
      </c>
      <c r="I157" s="134"/>
      <c r="J157" s="146"/>
      <c r="K157" s="135">
        <f>SUM(K158:K160)</f>
        <v>5.1085859999999998</v>
      </c>
    </row>
    <row r="158" spans="1:12" ht="24.75">
      <c r="A158" s="136" t="s">
        <v>1208</v>
      </c>
      <c r="B158" s="137" t="s">
        <v>1705</v>
      </c>
      <c r="C158" s="137" t="s">
        <v>698</v>
      </c>
      <c r="D158" s="137">
        <v>87377</v>
      </c>
      <c r="E158" s="136" t="s">
        <v>631</v>
      </c>
      <c r="F158" s="1033" t="s">
        <v>1706</v>
      </c>
      <c r="G158" s="1034"/>
      <c r="H158" s="137" t="s">
        <v>417</v>
      </c>
      <c r="I158" s="136">
        <v>4.1999999999999997E-3</v>
      </c>
      <c r="J158" s="136">
        <v>629.67999999999995</v>
      </c>
      <c r="K158" s="138">
        <f>I158*J158</f>
        <v>2.6446559999999995</v>
      </c>
    </row>
    <row r="159" spans="1:12">
      <c r="A159" s="136" t="s">
        <v>1208</v>
      </c>
      <c r="B159" s="137" t="s">
        <v>1705</v>
      </c>
      <c r="C159" s="137" t="s">
        <v>698</v>
      </c>
      <c r="D159" s="137">
        <v>88309</v>
      </c>
      <c r="E159" s="136" t="s">
        <v>445</v>
      </c>
      <c r="F159" s="1033" t="s">
        <v>1706</v>
      </c>
      <c r="G159" s="1034"/>
      <c r="H159" s="137" t="s">
        <v>412</v>
      </c>
      <c r="I159" s="136">
        <v>7.0000000000000007E-2</v>
      </c>
      <c r="J159" s="136">
        <v>32.65</v>
      </c>
      <c r="K159" s="138">
        <f t="shared" ref="K159:K160" si="7">I159*J159</f>
        <v>2.2855000000000003</v>
      </c>
    </row>
    <row r="160" spans="1:12">
      <c r="A160" s="136" t="s">
        <v>1208</v>
      </c>
      <c r="B160" s="137" t="s">
        <v>1705</v>
      </c>
      <c r="C160" s="137" t="s">
        <v>698</v>
      </c>
      <c r="D160" s="137">
        <v>88316</v>
      </c>
      <c r="E160" s="136" t="s">
        <v>414</v>
      </c>
      <c r="F160" s="1033" t="s">
        <v>1706</v>
      </c>
      <c r="G160" s="1034"/>
      <c r="H160" s="137" t="s">
        <v>412</v>
      </c>
      <c r="I160" s="136">
        <v>7.0000000000000001E-3</v>
      </c>
      <c r="J160" s="136">
        <v>25.49</v>
      </c>
      <c r="K160" s="138">
        <f t="shared" si="7"/>
        <v>0.17843000000000001</v>
      </c>
    </row>
    <row r="161" spans="1:20">
      <c r="A161" s="139"/>
      <c r="E161" s="139"/>
      <c r="F161" s="139"/>
      <c r="I161" s="139"/>
      <c r="J161" s="139"/>
      <c r="K161" s="140"/>
    </row>
    <row r="162" spans="1:20">
      <c r="A162" s="128"/>
      <c r="B162" s="129" t="s">
        <v>1691</v>
      </c>
      <c r="C162" s="129" t="s">
        <v>1692</v>
      </c>
      <c r="D162" s="129" t="s">
        <v>1693</v>
      </c>
      <c r="E162" s="130" t="s">
        <v>0</v>
      </c>
      <c r="F162" s="130" t="s">
        <v>1694</v>
      </c>
      <c r="G162" s="129"/>
      <c r="H162" s="129" t="s">
        <v>1695</v>
      </c>
      <c r="I162" s="130" t="s">
        <v>1696</v>
      </c>
      <c r="J162" s="130" t="s">
        <v>1697</v>
      </c>
      <c r="K162" s="131" t="s">
        <v>1698</v>
      </c>
    </row>
    <row r="163" spans="1:20" ht="50.1" customHeight="1">
      <c r="A163" s="132" t="s">
        <v>1743</v>
      </c>
      <c r="B163" s="133" t="s">
        <v>1700</v>
      </c>
      <c r="C163" s="133" t="s">
        <v>698</v>
      </c>
      <c r="D163" s="133">
        <v>87561</v>
      </c>
      <c r="E163" s="134" t="s">
        <v>635</v>
      </c>
      <c r="F163" s="134" t="s">
        <v>629</v>
      </c>
      <c r="G163" s="133"/>
      <c r="H163" s="133" t="s">
        <v>421</v>
      </c>
      <c r="I163" s="134"/>
      <c r="J163" s="146"/>
      <c r="K163" s="135">
        <f>SUM(K164:K166)</f>
        <v>42.920498000000002</v>
      </c>
    </row>
    <row r="164" spans="1:20" ht="24.75">
      <c r="A164" s="136" t="s">
        <v>1208</v>
      </c>
      <c r="B164" s="137" t="s">
        <v>1705</v>
      </c>
      <c r="C164" s="137" t="s">
        <v>698</v>
      </c>
      <c r="D164" s="137">
        <v>87407</v>
      </c>
      <c r="E164" s="136" t="s">
        <v>633</v>
      </c>
      <c r="F164" s="1033" t="s">
        <v>1706</v>
      </c>
      <c r="G164" s="1034"/>
      <c r="H164" s="137" t="s">
        <v>417</v>
      </c>
      <c r="I164" s="136">
        <v>2.1299999999999999E-2</v>
      </c>
      <c r="J164" s="136">
        <v>1543.96</v>
      </c>
      <c r="K164" s="138">
        <f>I164*J164</f>
        <v>32.886347999999998</v>
      </c>
    </row>
    <row r="165" spans="1:20">
      <c r="A165" s="136" t="s">
        <v>1208</v>
      </c>
      <c r="B165" s="137" t="s">
        <v>1705</v>
      </c>
      <c r="C165" s="137" t="s">
        <v>698</v>
      </c>
      <c r="D165" s="137">
        <v>88309</v>
      </c>
      <c r="E165" s="136" t="s">
        <v>445</v>
      </c>
      <c r="F165" s="1033" t="s">
        <v>1706</v>
      </c>
      <c r="G165" s="1034"/>
      <c r="H165" s="137" t="s">
        <v>412</v>
      </c>
      <c r="I165" s="136">
        <v>0.28000000000000003</v>
      </c>
      <c r="J165" s="136">
        <v>32.65</v>
      </c>
      <c r="K165" s="138">
        <f t="shared" ref="K165:K166" si="8">I165*J165</f>
        <v>9.1420000000000012</v>
      </c>
    </row>
    <row r="166" spans="1:20">
      <c r="A166" s="136" t="s">
        <v>1208</v>
      </c>
      <c r="B166" s="137" t="s">
        <v>1705</v>
      </c>
      <c r="C166" s="137" t="s">
        <v>698</v>
      </c>
      <c r="D166" s="137">
        <v>88316</v>
      </c>
      <c r="E166" s="136" t="s">
        <v>414</v>
      </c>
      <c r="F166" s="1033" t="s">
        <v>1706</v>
      </c>
      <c r="G166" s="1034"/>
      <c r="H166" s="137" t="s">
        <v>412</v>
      </c>
      <c r="I166" s="136">
        <v>3.5000000000000003E-2</v>
      </c>
      <c r="J166" s="136">
        <v>25.49</v>
      </c>
      <c r="K166" s="138">
        <f t="shared" si="8"/>
        <v>0.89215</v>
      </c>
    </row>
    <row r="167" spans="1:20">
      <c r="A167" s="139"/>
      <c r="E167" s="139"/>
      <c r="F167" s="139"/>
      <c r="I167" s="139"/>
      <c r="J167" s="139"/>
      <c r="K167" s="140"/>
    </row>
    <row r="168" spans="1:20">
      <c r="A168" s="128"/>
      <c r="B168" s="129" t="s">
        <v>1691</v>
      </c>
      <c r="C168" s="129" t="s">
        <v>1692</v>
      </c>
      <c r="D168" s="129" t="s">
        <v>1693</v>
      </c>
      <c r="E168" s="130" t="s">
        <v>0</v>
      </c>
      <c r="F168" s="130" t="s">
        <v>1694</v>
      </c>
      <c r="G168" s="129"/>
      <c r="H168" s="129" t="s">
        <v>1695</v>
      </c>
      <c r="I168" s="130" t="s">
        <v>1696</v>
      </c>
      <c r="J168" s="130" t="s">
        <v>1697</v>
      </c>
      <c r="K168" s="131" t="s">
        <v>1698</v>
      </c>
    </row>
    <row r="169" spans="1:20" ht="50.1" customHeight="1">
      <c r="A169" s="132" t="s">
        <v>1744</v>
      </c>
      <c r="B169" s="133" t="s">
        <v>1700</v>
      </c>
      <c r="C169" s="133" t="s">
        <v>698</v>
      </c>
      <c r="D169" s="133">
        <v>98555</v>
      </c>
      <c r="E169" s="134" t="s">
        <v>471</v>
      </c>
      <c r="F169" s="134" t="s">
        <v>470</v>
      </c>
      <c r="G169" s="133"/>
      <c r="H169" s="133" t="s">
        <v>421</v>
      </c>
      <c r="I169" s="134"/>
      <c r="J169" s="146"/>
      <c r="K169" s="135">
        <f>SUM(K170:K172)</f>
        <v>29.612719999999999</v>
      </c>
    </row>
    <row r="170" spans="1:20" ht="24.75">
      <c r="A170" s="136" t="s">
        <v>1208</v>
      </c>
      <c r="B170" s="137" t="s">
        <v>792</v>
      </c>
      <c r="C170" s="137" t="s">
        <v>698</v>
      </c>
      <c r="D170" s="137">
        <v>135</v>
      </c>
      <c r="E170" s="136" t="s">
        <v>472</v>
      </c>
      <c r="F170" s="1033" t="s">
        <v>1703</v>
      </c>
      <c r="G170" s="1034"/>
      <c r="H170" s="137" t="s">
        <v>415</v>
      </c>
      <c r="I170" s="136">
        <v>3.2</v>
      </c>
      <c r="J170" s="136">
        <v>2.92</v>
      </c>
      <c r="K170" s="138">
        <f>I170*J170</f>
        <v>9.3439999999999994</v>
      </c>
    </row>
    <row r="171" spans="1:20">
      <c r="A171" s="136" t="s">
        <v>1208</v>
      </c>
      <c r="B171" s="137" t="s">
        <v>1705</v>
      </c>
      <c r="C171" s="137" t="s">
        <v>698</v>
      </c>
      <c r="D171" s="137">
        <v>88243</v>
      </c>
      <c r="E171" s="136" t="s">
        <v>448</v>
      </c>
      <c r="F171" s="1033" t="s">
        <v>1706</v>
      </c>
      <c r="G171" s="1034"/>
      <c r="H171" s="137" t="s">
        <v>412</v>
      </c>
      <c r="I171" s="136">
        <v>0.108</v>
      </c>
      <c r="J171" s="136">
        <v>26.3</v>
      </c>
      <c r="K171" s="138">
        <f t="shared" ref="K171:K172" si="9">I171*J171</f>
        <v>2.8404000000000003</v>
      </c>
    </row>
    <row r="172" spans="1:20">
      <c r="A172" s="136" t="s">
        <v>1208</v>
      </c>
      <c r="B172" s="137" t="s">
        <v>1705</v>
      </c>
      <c r="C172" s="137" t="s">
        <v>698</v>
      </c>
      <c r="D172" s="137">
        <v>88270</v>
      </c>
      <c r="E172" s="136" t="s">
        <v>469</v>
      </c>
      <c r="F172" s="1033" t="s">
        <v>1706</v>
      </c>
      <c r="G172" s="1034"/>
      <c r="H172" s="137" t="s">
        <v>412</v>
      </c>
      <c r="I172" s="136">
        <v>0.53200000000000003</v>
      </c>
      <c r="J172" s="136">
        <v>32.76</v>
      </c>
      <c r="K172" s="138">
        <f t="shared" si="9"/>
        <v>17.428319999999999</v>
      </c>
    </row>
    <row r="173" spans="1:20">
      <c r="A173" s="139"/>
      <c r="E173" s="139"/>
      <c r="F173" s="139"/>
      <c r="I173" s="139"/>
      <c r="J173" s="139"/>
      <c r="K173" s="140"/>
    </row>
    <row r="174" spans="1:20">
      <c r="A174" s="128"/>
      <c r="B174" s="129" t="s">
        <v>1691</v>
      </c>
      <c r="C174" s="129" t="s">
        <v>1692</v>
      </c>
      <c r="D174" s="129" t="s">
        <v>1693</v>
      </c>
      <c r="E174" s="130" t="s">
        <v>0</v>
      </c>
      <c r="F174" s="130" t="s">
        <v>1694</v>
      </c>
      <c r="G174" s="129"/>
      <c r="H174" s="129" t="s">
        <v>1695</v>
      </c>
      <c r="I174" s="130" t="s">
        <v>1696</v>
      </c>
      <c r="J174" s="130" t="s">
        <v>1697</v>
      </c>
      <c r="K174" s="131" t="s">
        <v>1698</v>
      </c>
    </row>
    <row r="175" spans="1:20" ht="50.1" customHeight="1">
      <c r="A175" s="132" t="s">
        <v>1745</v>
      </c>
      <c r="B175" s="133" t="s">
        <v>1700</v>
      </c>
      <c r="C175" s="133" t="s">
        <v>698</v>
      </c>
      <c r="D175" s="133">
        <v>88476</v>
      </c>
      <c r="E175" s="134" t="s">
        <v>817</v>
      </c>
      <c r="F175" s="134" t="s">
        <v>623</v>
      </c>
      <c r="G175" s="133"/>
      <c r="H175" s="133" t="s">
        <v>421</v>
      </c>
      <c r="I175" s="134"/>
      <c r="J175" s="146"/>
      <c r="K175" s="135">
        <f>SUM(K176:K179)</f>
        <v>19.088149999999999</v>
      </c>
      <c r="P175" s="249"/>
      <c r="R175" s="250"/>
      <c r="T175" s="250"/>
    </row>
    <row r="176" spans="1:20">
      <c r="A176" s="136" t="s">
        <v>1208</v>
      </c>
      <c r="B176" s="137" t="s">
        <v>792</v>
      </c>
      <c r="C176" s="137" t="s">
        <v>698</v>
      </c>
      <c r="D176" s="137">
        <v>7334</v>
      </c>
      <c r="E176" s="136" t="s">
        <v>1746</v>
      </c>
      <c r="F176" s="1033" t="s">
        <v>1703</v>
      </c>
      <c r="G176" s="1034"/>
      <c r="H176" s="137" t="s">
        <v>438</v>
      </c>
      <c r="I176" s="136">
        <v>0.21</v>
      </c>
      <c r="J176" s="136">
        <v>15.07</v>
      </c>
      <c r="K176" s="138">
        <f>I176*J176</f>
        <v>3.1646999999999998</v>
      </c>
    </row>
    <row r="177" spans="1:12">
      <c r="A177" s="136" t="s">
        <v>1208</v>
      </c>
      <c r="B177" s="137" t="s">
        <v>792</v>
      </c>
      <c r="C177" s="137" t="s">
        <v>698</v>
      </c>
      <c r="D177" s="137">
        <v>38546</v>
      </c>
      <c r="E177" s="136" t="s">
        <v>628</v>
      </c>
      <c r="F177" s="1033" t="s">
        <v>1703</v>
      </c>
      <c r="G177" s="1034"/>
      <c r="H177" s="137" t="s">
        <v>417</v>
      </c>
      <c r="I177" s="136">
        <v>3.1E-2</v>
      </c>
      <c r="J177" s="136">
        <v>436.46</v>
      </c>
      <c r="K177" s="138">
        <f>I177*J177</f>
        <v>13.530259999999998</v>
      </c>
    </row>
    <row r="178" spans="1:12">
      <c r="A178" s="136" t="s">
        <v>1208</v>
      </c>
      <c r="B178" s="137" t="s">
        <v>1705</v>
      </c>
      <c r="C178" s="137" t="s">
        <v>698</v>
      </c>
      <c r="D178" s="137">
        <v>88309</v>
      </c>
      <c r="E178" s="136" t="s">
        <v>445</v>
      </c>
      <c r="F178" s="1033" t="s">
        <v>1706</v>
      </c>
      <c r="G178" s="1034"/>
      <c r="H178" s="137" t="s">
        <v>412</v>
      </c>
      <c r="I178" s="136">
        <v>5.2999999999999999E-2</v>
      </c>
      <c r="J178" s="136">
        <v>32.65</v>
      </c>
      <c r="K178" s="138">
        <f>I178*J178</f>
        <v>1.7304499999999998</v>
      </c>
    </row>
    <row r="179" spans="1:12">
      <c r="A179" s="136" t="s">
        <v>1208</v>
      </c>
      <c r="B179" s="137" t="s">
        <v>1705</v>
      </c>
      <c r="C179" s="137" t="s">
        <v>698</v>
      </c>
      <c r="D179" s="137">
        <v>88316</v>
      </c>
      <c r="E179" s="136" t="s">
        <v>414</v>
      </c>
      <c r="F179" s="1033" t="s">
        <v>1706</v>
      </c>
      <c r="G179" s="1034"/>
      <c r="H179" s="137" t="s">
        <v>412</v>
      </c>
      <c r="I179" s="136">
        <v>2.5999999999999999E-2</v>
      </c>
      <c r="J179" s="136">
        <v>25.49</v>
      </c>
      <c r="K179" s="138">
        <f>I179*J179</f>
        <v>0.66273999999999988</v>
      </c>
    </row>
    <row r="180" spans="1:12">
      <c r="A180" s="139"/>
      <c r="E180" s="139"/>
      <c r="F180" s="139"/>
      <c r="I180" s="139"/>
      <c r="J180" s="139"/>
      <c r="K180" s="140"/>
    </row>
    <row r="181" spans="1:12">
      <c r="A181" s="128"/>
      <c r="B181" s="129" t="s">
        <v>1691</v>
      </c>
      <c r="C181" s="129" t="s">
        <v>1692</v>
      </c>
      <c r="D181" s="129" t="s">
        <v>1693</v>
      </c>
      <c r="E181" s="130" t="s">
        <v>0</v>
      </c>
      <c r="F181" s="130" t="s">
        <v>1694</v>
      </c>
      <c r="G181" s="129"/>
      <c r="H181" s="129" t="s">
        <v>1695</v>
      </c>
      <c r="I181" s="130" t="s">
        <v>1696</v>
      </c>
      <c r="J181" s="130" t="s">
        <v>1697</v>
      </c>
      <c r="K181" s="131" t="s">
        <v>1698</v>
      </c>
    </row>
    <row r="182" spans="1:12" ht="50.1" customHeight="1">
      <c r="A182" s="132" t="s">
        <v>1747</v>
      </c>
      <c r="B182" s="133" t="s">
        <v>1700</v>
      </c>
      <c r="C182" s="133" t="s">
        <v>698</v>
      </c>
      <c r="D182" s="133">
        <v>87263</v>
      </c>
      <c r="E182" s="134" t="s">
        <v>627</v>
      </c>
      <c r="F182" s="134" t="s">
        <v>623</v>
      </c>
      <c r="G182" s="133"/>
      <c r="H182" s="133" t="s">
        <v>421</v>
      </c>
      <c r="I182" s="134"/>
      <c r="J182" s="146"/>
      <c r="K182" s="135">
        <f>SUM(K183:K187)</f>
        <v>172.76490000000001</v>
      </c>
    </row>
    <row r="183" spans="1:12">
      <c r="A183" s="136" t="s">
        <v>1208</v>
      </c>
      <c r="B183" s="137" t="s">
        <v>792</v>
      </c>
      <c r="C183" s="137" t="s">
        <v>698</v>
      </c>
      <c r="D183" s="137">
        <v>34357</v>
      </c>
      <c r="E183" s="136" t="s">
        <v>624</v>
      </c>
      <c r="F183" s="1033" t="s">
        <v>1703</v>
      </c>
      <c r="G183" s="1034"/>
      <c r="H183" s="137" t="s">
        <v>415</v>
      </c>
      <c r="I183" s="136">
        <v>0.14000000000000001</v>
      </c>
      <c r="J183" s="136">
        <v>4.05</v>
      </c>
      <c r="K183" s="138">
        <f>I183*J183</f>
        <v>0.56700000000000006</v>
      </c>
    </row>
    <row r="184" spans="1:12">
      <c r="A184" s="136" t="s">
        <v>1208</v>
      </c>
      <c r="B184" s="137" t="s">
        <v>792</v>
      </c>
      <c r="C184" s="137" t="s">
        <v>698</v>
      </c>
      <c r="D184" s="137">
        <v>37595</v>
      </c>
      <c r="E184" s="136" t="s">
        <v>626</v>
      </c>
      <c r="F184" s="1033" t="s">
        <v>1703</v>
      </c>
      <c r="G184" s="1034"/>
      <c r="H184" s="137" t="s">
        <v>415</v>
      </c>
      <c r="I184" s="136">
        <v>8.6199999999999992</v>
      </c>
      <c r="J184" s="136">
        <v>2.12</v>
      </c>
      <c r="K184" s="138">
        <f t="shared" ref="K184:K187" si="10">I184*J184</f>
        <v>18.2744</v>
      </c>
    </row>
    <row r="185" spans="1:12">
      <c r="A185" s="136" t="s">
        <v>1208</v>
      </c>
      <c r="B185" s="137" t="s">
        <v>792</v>
      </c>
      <c r="C185" s="137" t="s">
        <v>698</v>
      </c>
      <c r="D185" s="137">
        <v>38195</v>
      </c>
      <c r="E185" s="136" t="s">
        <v>1748</v>
      </c>
      <c r="F185" s="1033" t="s">
        <v>1703</v>
      </c>
      <c r="G185" s="1034"/>
      <c r="H185" s="137" t="s">
        <v>421</v>
      </c>
      <c r="I185" s="136">
        <v>1.07</v>
      </c>
      <c r="J185" s="136">
        <v>124.89</v>
      </c>
      <c r="K185" s="138">
        <f t="shared" si="10"/>
        <v>133.63230000000001</v>
      </c>
    </row>
    <row r="186" spans="1:12">
      <c r="A186" s="136" t="s">
        <v>1208</v>
      </c>
      <c r="B186" s="137" t="s">
        <v>1705</v>
      </c>
      <c r="C186" s="137" t="s">
        <v>698</v>
      </c>
      <c r="D186" s="137">
        <v>88256</v>
      </c>
      <c r="E186" s="136" t="s">
        <v>625</v>
      </c>
      <c r="F186" s="1033" t="s">
        <v>1706</v>
      </c>
      <c r="G186" s="1034"/>
      <c r="H186" s="137" t="s">
        <v>412</v>
      </c>
      <c r="I186" s="136">
        <v>0.44</v>
      </c>
      <c r="J186" s="136">
        <v>34.53</v>
      </c>
      <c r="K186" s="138">
        <f t="shared" si="10"/>
        <v>15.193200000000001</v>
      </c>
    </row>
    <row r="187" spans="1:12">
      <c r="A187" s="136" t="s">
        <v>1208</v>
      </c>
      <c r="B187" s="137" t="s">
        <v>1705</v>
      </c>
      <c r="C187" s="137" t="s">
        <v>698</v>
      </c>
      <c r="D187" s="137">
        <v>88316</v>
      </c>
      <c r="E187" s="136" t="s">
        <v>414</v>
      </c>
      <c r="F187" s="1033" t="s">
        <v>1706</v>
      </c>
      <c r="G187" s="1034"/>
      <c r="H187" s="137" t="s">
        <v>412</v>
      </c>
      <c r="I187" s="136">
        <v>0.2</v>
      </c>
      <c r="J187" s="136">
        <v>25.49</v>
      </c>
      <c r="K187" s="138">
        <f t="shared" si="10"/>
        <v>5.0979999999999999</v>
      </c>
    </row>
    <row r="188" spans="1:12">
      <c r="A188" s="139"/>
      <c r="E188" s="139"/>
      <c r="F188" s="139"/>
      <c r="I188" s="139"/>
      <c r="J188" s="139"/>
      <c r="K188" s="140"/>
    </row>
    <row r="189" spans="1:12">
      <c r="A189" s="128"/>
      <c r="B189" s="129" t="s">
        <v>1691</v>
      </c>
      <c r="C189" s="129" t="s">
        <v>1692</v>
      </c>
      <c r="D189" s="129" t="s">
        <v>1693</v>
      </c>
      <c r="E189" s="130" t="s">
        <v>0</v>
      </c>
      <c r="F189" s="130" t="s">
        <v>1694</v>
      </c>
      <c r="G189" s="129"/>
      <c r="H189" s="129" t="s">
        <v>1695</v>
      </c>
      <c r="I189" s="130" t="s">
        <v>1696</v>
      </c>
      <c r="J189" s="130" t="s">
        <v>1697</v>
      </c>
      <c r="K189" s="131" t="s">
        <v>1698</v>
      </c>
    </row>
    <row r="190" spans="1:12" ht="50.1" customHeight="1">
      <c r="A190" s="132" t="s">
        <v>1749</v>
      </c>
      <c r="B190" s="133" t="s">
        <v>1700</v>
      </c>
      <c r="C190" s="133" t="s">
        <v>698</v>
      </c>
      <c r="D190" s="133">
        <v>101727</v>
      </c>
      <c r="E190" s="134" t="s">
        <v>2123</v>
      </c>
      <c r="F190" s="134" t="s">
        <v>623</v>
      </c>
      <c r="G190" s="133"/>
      <c r="H190" s="133" t="s">
        <v>421</v>
      </c>
      <c r="I190" s="134"/>
      <c r="J190" s="146"/>
      <c r="K190" s="135">
        <f>SUM(K191:K194)</f>
        <v>190.36269999999999</v>
      </c>
      <c r="L190" s="853"/>
    </row>
    <row r="191" spans="1:12">
      <c r="A191" s="136" t="s">
        <v>1208</v>
      </c>
      <c r="B191" s="137" t="s">
        <v>792</v>
      </c>
      <c r="C191" s="137" t="s">
        <v>698</v>
      </c>
      <c r="D191" s="137">
        <v>4791</v>
      </c>
      <c r="E191" s="136" t="s">
        <v>2125</v>
      </c>
      <c r="F191" s="1033" t="s">
        <v>1703</v>
      </c>
      <c r="G191" s="1034"/>
      <c r="H191" s="137" t="s">
        <v>415</v>
      </c>
      <c r="I191" s="142">
        <v>9.5000000000000001E-2</v>
      </c>
      <c r="J191" s="142">
        <v>47.86</v>
      </c>
      <c r="K191" s="138">
        <f>I191*J191</f>
        <v>4.5467000000000004</v>
      </c>
    </row>
    <row r="192" spans="1:12">
      <c r="A192" s="136" t="s">
        <v>1208</v>
      </c>
      <c r="B192" s="137" t="s">
        <v>792</v>
      </c>
      <c r="C192" s="137" t="s">
        <v>698</v>
      </c>
      <c r="D192" s="137">
        <v>4792</v>
      </c>
      <c r="E192" s="136" t="s">
        <v>2126</v>
      </c>
      <c r="F192" s="1033" t="s">
        <v>1703</v>
      </c>
      <c r="G192" s="1034"/>
      <c r="H192" s="265" t="s">
        <v>4</v>
      </c>
      <c r="I192" s="142">
        <v>1.1100000000000001</v>
      </c>
      <c r="J192" s="142">
        <v>160.41999999999999</v>
      </c>
      <c r="K192" s="138">
        <f t="shared" ref="K192:K194" si="11">I192*J192</f>
        <v>178.06620000000001</v>
      </c>
    </row>
    <row r="193" spans="1:11">
      <c r="A193" s="136" t="s">
        <v>1208</v>
      </c>
      <c r="B193" s="137" t="s">
        <v>1705</v>
      </c>
      <c r="C193" s="137" t="s">
        <v>698</v>
      </c>
      <c r="D193" s="137">
        <v>88309</v>
      </c>
      <c r="E193" s="136" t="s">
        <v>2124</v>
      </c>
      <c r="F193" s="1033" t="s">
        <v>1706</v>
      </c>
      <c r="G193" s="1034"/>
      <c r="H193" s="137" t="s">
        <v>412</v>
      </c>
      <c r="I193" s="142">
        <v>0.17100000000000001</v>
      </c>
      <c r="J193" s="142">
        <v>32.65</v>
      </c>
      <c r="K193" s="138">
        <f t="shared" si="11"/>
        <v>5.5831499999999998</v>
      </c>
    </row>
    <row r="194" spans="1:11">
      <c r="A194" s="136" t="s">
        <v>1208</v>
      </c>
      <c r="B194" s="137" t="s">
        <v>1705</v>
      </c>
      <c r="C194" s="137" t="s">
        <v>698</v>
      </c>
      <c r="D194" s="137">
        <v>88316</v>
      </c>
      <c r="E194" s="136" t="s">
        <v>414</v>
      </c>
      <c r="F194" s="1033" t="s">
        <v>1706</v>
      </c>
      <c r="G194" s="1034"/>
      <c r="H194" s="137" t="s">
        <v>412</v>
      </c>
      <c r="I194" s="142">
        <v>8.5000000000000006E-2</v>
      </c>
      <c r="J194" s="142">
        <v>25.49</v>
      </c>
      <c r="K194" s="138">
        <f t="shared" si="11"/>
        <v>2.1666500000000002</v>
      </c>
    </row>
    <row r="195" spans="1:11">
      <c r="A195" s="139"/>
      <c r="E195" s="139"/>
      <c r="F195" s="139"/>
      <c r="I195" s="139"/>
      <c r="J195" s="139"/>
      <c r="K195" s="140"/>
    </row>
    <row r="196" spans="1:11">
      <c r="A196" s="128"/>
      <c r="B196" s="129" t="s">
        <v>1691</v>
      </c>
      <c r="C196" s="129" t="s">
        <v>1692</v>
      </c>
      <c r="D196" s="129" t="s">
        <v>1693</v>
      </c>
      <c r="E196" s="130" t="s">
        <v>0</v>
      </c>
      <c r="F196" s="130" t="s">
        <v>1694</v>
      </c>
      <c r="G196" s="129"/>
      <c r="H196" s="129" t="s">
        <v>1695</v>
      </c>
      <c r="I196" s="130" t="s">
        <v>1696</v>
      </c>
      <c r="J196" s="130" t="s">
        <v>1697</v>
      </c>
      <c r="K196" s="131" t="s">
        <v>1698</v>
      </c>
    </row>
    <row r="197" spans="1:11" ht="63">
      <c r="A197" s="132" t="s">
        <v>1750</v>
      </c>
      <c r="B197" s="133" t="s">
        <v>1700</v>
      </c>
      <c r="C197" s="133" t="s">
        <v>698</v>
      </c>
      <c r="D197" s="133">
        <v>87553</v>
      </c>
      <c r="E197" s="134" t="s">
        <v>634</v>
      </c>
      <c r="F197" s="134" t="s">
        <v>629</v>
      </c>
      <c r="G197" s="133"/>
      <c r="H197" s="133" t="s">
        <v>421</v>
      </c>
      <c r="I197" s="134"/>
      <c r="J197" s="146"/>
      <c r="K197" s="135">
        <f>SUM(K198:K200)</f>
        <v>20.264171999999999</v>
      </c>
    </row>
    <row r="198" spans="1:11" ht="36.75">
      <c r="A198" s="136" t="s">
        <v>1208</v>
      </c>
      <c r="B198" s="137" t="s">
        <v>1705</v>
      </c>
      <c r="C198" s="137" t="s">
        <v>698</v>
      </c>
      <c r="D198" s="137">
        <v>87292</v>
      </c>
      <c r="E198" s="136" t="s">
        <v>468</v>
      </c>
      <c r="F198" s="1033" t="s">
        <v>1706</v>
      </c>
      <c r="G198" s="1034"/>
      <c r="H198" s="137" t="s">
        <v>417</v>
      </c>
      <c r="I198" s="136">
        <v>2.1299999999999999E-2</v>
      </c>
      <c r="J198" s="136">
        <v>556.24</v>
      </c>
      <c r="K198" s="138">
        <f>I198*J198</f>
        <v>11.847911999999999</v>
      </c>
    </row>
    <row r="199" spans="1:11">
      <c r="A199" s="136" t="s">
        <v>1208</v>
      </c>
      <c r="B199" s="137" t="s">
        <v>1705</v>
      </c>
      <c r="C199" s="137" t="s">
        <v>698</v>
      </c>
      <c r="D199" s="137">
        <v>88309</v>
      </c>
      <c r="E199" s="136" t="s">
        <v>445</v>
      </c>
      <c r="F199" s="1033" t="s">
        <v>1706</v>
      </c>
      <c r="G199" s="1034"/>
      <c r="H199" s="137" t="s">
        <v>412</v>
      </c>
      <c r="I199" s="136">
        <v>0.2</v>
      </c>
      <c r="J199" s="136">
        <v>32.65</v>
      </c>
      <c r="K199" s="138">
        <f>I199*J199</f>
        <v>6.53</v>
      </c>
    </row>
    <row r="200" spans="1:11">
      <c r="A200" s="136" t="s">
        <v>1208</v>
      </c>
      <c r="B200" s="137" t="s">
        <v>1705</v>
      </c>
      <c r="C200" s="137" t="s">
        <v>698</v>
      </c>
      <c r="D200" s="137">
        <v>88316</v>
      </c>
      <c r="E200" s="136" t="s">
        <v>414</v>
      </c>
      <c r="F200" s="1033" t="s">
        <v>1706</v>
      </c>
      <c r="G200" s="1034"/>
      <c r="H200" s="137" t="s">
        <v>412</v>
      </c>
      <c r="I200" s="136">
        <v>7.3999999999999996E-2</v>
      </c>
      <c r="J200" s="136">
        <v>25.49</v>
      </c>
      <c r="K200" s="138">
        <f>I200*J200</f>
        <v>1.8862599999999998</v>
      </c>
    </row>
    <row r="201" spans="1:11">
      <c r="A201" s="139"/>
      <c r="E201" s="139"/>
      <c r="F201" s="139"/>
      <c r="I201" s="139"/>
      <c r="J201" s="139"/>
      <c r="K201" s="140"/>
    </row>
    <row r="202" spans="1:11">
      <c r="A202" s="128"/>
      <c r="B202" s="129" t="s">
        <v>1691</v>
      </c>
      <c r="C202" s="129" t="s">
        <v>1692</v>
      </c>
      <c r="D202" s="129" t="s">
        <v>1693</v>
      </c>
      <c r="E202" s="130" t="s">
        <v>0</v>
      </c>
      <c r="F202" s="130" t="s">
        <v>1694</v>
      </c>
      <c r="G202" s="129"/>
      <c r="H202" s="129" t="s">
        <v>1695</v>
      </c>
      <c r="I202" s="130" t="s">
        <v>1696</v>
      </c>
      <c r="J202" s="130" t="s">
        <v>1697</v>
      </c>
      <c r="K202" s="131" t="s">
        <v>1698</v>
      </c>
    </row>
    <row r="203" spans="1:11" ht="50.1" customHeight="1">
      <c r="A203" s="132" t="s">
        <v>1751</v>
      </c>
      <c r="B203" s="133" t="s">
        <v>1700</v>
      </c>
      <c r="C203" s="133" t="s">
        <v>698</v>
      </c>
      <c r="D203" s="133">
        <v>87275</v>
      </c>
      <c r="E203" s="134" t="s">
        <v>637</v>
      </c>
      <c r="F203" s="134" t="s">
        <v>629</v>
      </c>
      <c r="G203" s="133"/>
      <c r="H203" s="133" t="s">
        <v>421</v>
      </c>
      <c r="I203" s="134"/>
      <c r="J203" s="134"/>
      <c r="K203" s="135">
        <f>SUM(K204:K208)</f>
        <v>86.370800000000003</v>
      </c>
    </row>
    <row r="204" spans="1:11" ht="24.75">
      <c r="A204" s="136" t="s">
        <v>1208</v>
      </c>
      <c r="B204" s="137" t="s">
        <v>792</v>
      </c>
      <c r="C204" s="137" t="s">
        <v>698</v>
      </c>
      <c r="D204" s="137">
        <v>536</v>
      </c>
      <c r="E204" s="136" t="s">
        <v>636</v>
      </c>
      <c r="F204" s="1033" t="s">
        <v>1703</v>
      </c>
      <c r="G204" s="1034"/>
      <c r="H204" s="137" t="s">
        <v>421</v>
      </c>
      <c r="I204" s="136">
        <v>1.0900000000000001</v>
      </c>
      <c r="J204" s="136">
        <v>34.950000000000003</v>
      </c>
      <c r="K204" s="138">
        <f>I204*J204</f>
        <v>38.095500000000008</v>
      </c>
    </row>
    <row r="205" spans="1:11">
      <c r="A205" s="136" t="s">
        <v>1208</v>
      </c>
      <c r="B205" s="137" t="s">
        <v>792</v>
      </c>
      <c r="C205" s="137" t="s">
        <v>698</v>
      </c>
      <c r="D205" s="137">
        <v>1381</v>
      </c>
      <c r="E205" s="136" t="s">
        <v>1752</v>
      </c>
      <c r="F205" s="1033" t="s">
        <v>1703</v>
      </c>
      <c r="G205" s="1034"/>
      <c r="H205" s="137" t="s">
        <v>415</v>
      </c>
      <c r="I205" s="136">
        <v>6.14</v>
      </c>
      <c r="J205" s="136">
        <v>0.69</v>
      </c>
      <c r="K205" s="138">
        <f t="shared" ref="K205:K208" si="12">I205*J205</f>
        <v>4.2365999999999993</v>
      </c>
    </row>
    <row r="206" spans="1:11">
      <c r="A206" s="136" t="s">
        <v>1208</v>
      </c>
      <c r="B206" s="137" t="s">
        <v>792</v>
      </c>
      <c r="C206" s="137" t="s">
        <v>698</v>
      </c>
      <c r="D206" s="137">
        <v>34357</v>
      </c>
      <c r="E206" s="136" t="s">
        <v>624</v>
      </c>
      <c r="F206" s="1033" t="s">
        <v>1703</v>
      </c>
      <c r="G206" s="1034"/>
      <c r="H206" s="137" t="s">
        <v>415</v>
      </c>
      <c r="I206" s="136">
        <v>0.22</v>
      </c>
      <c r="J206" s="136">
        <v>4.05</v>
      </c>
      <c r="K206" s="138">
        <f t="shared" si="12"/>
        <v>0.89100000000000001</v>
      </c>
    </row>
    <row r="207" spans="1:11">
      <c r="A207" s="136" t="s">
        <v>1208</v>
      </c>
      <c r="B207" s="137" t="s">
        <v>1705</v>
      </c>
      <c r="C207" s="137" t="s">
        <v>698</v>
      </c>
      <c r="D207" s="137">
        <v>88256</v>
      </c>
      <c r="E207" s="136" t="s">
        <v>625</v>
      </c>
      <c r="F207" s="1033" t="s">
        <v>1706</v>
      </c>
      <c r="G207" s="1034"/>
      <c r="H207" s="137" t="s">
        <v>412</v>
      </c>
      <c r="I207" s="136">
        <v>0.91</v>
      </c>
      <c r="J207" s="136">
        <v>34.53</v>
      </c>
      <c r="K207" s="138">
        <f t="shared" si="12"/>
        <v>31.422300000000003</v>
      </c>
    </row>
    <row r="208" spans="1:11">
      <c r="A208" s="136" t="s">
        <v>1208</v>
      </c>
      <c r="B208" s="137" t="s">
        <v>1705</v>
      </c>
      <c r="C208" s="137" t="s">
        <v>698</v>
      </c>
      <c r="D208" s="137">
        <v>88316</v>
      </c>
      <c r="E208" s="136" t="s">
        <v>414</v>
      </c>
      <c r="F208" s="1033" t="s">
        <v>1706</v>
      </c>
      <c r="G208" s="1034"/>
      <c r="H208" s="137" t="s">
        <v>412</v>
      </c>
      <c r="I208" s="136">
        <v>0.46</v>
      </c>
      <c r="J208" s="136">
        <v>25.49</v>
      </c>
      <c r="K208" s="138">
        <f t="shared" si="12"/>
        <v>11.7254</v>
      </c>
    </row>
    <row r="209" spans="1:11">
      <c r="A209" s="139"/>
      <c r="E209" s="139"/>
      <c r="F209" s="139"/>
      <c r="I209" s="139"/>
      <c r="J209" s="139"/>
      <c r="K209" s="140"/>
    </row>
    <row r="210" spans="1:11">
      <c r="A210" s="128"/>
      <c r="B210" s="129" t="s">
        <v>1691</v>
      </c>
      <c r="C210" s="129" t="s">
        <v>1692</v>
      </c>
      <c r="D210" s="129" t="s">
        <v>1693</v>
      </c>
      <c r="E210" s="130" t="s">
        <v>0</v>
      </c>
      <c r="F210" s="130" t="s">
        <v>1694</v>
      </c>
      <c r="G210" s="129"/>
      <c r="H210" s="129" t="s">
        <v>1695</v>
      </c>
      <c r="I210" s="130" t="s">
        <v>1696</v>
      </c>
      <c r="J210" s="130" t="s">
        <v>1697</v>
      </c>
      <c r="K210" s="131" t="s">
        <v>1698</v>
      </c>
    </row>
    <row r="211" spans="1:11" ht="31.5">
      <c r="A211" s="132" t="s">
        <v>1753</v>
      </c>
      <c r="B211" s="133" t="s">
        <v>1700</v>
      </c>
      <c r="C211" s="133" t="s">
        <v>698</v>
      </c>
      <c r="D211" s="133">
        <v>88411</v>
      </c>
      <c r="E211" s="134" t="s">
        <v>617</v>
      </c>
      <c r="F211" s="134" t="s">
        <v>616</v>
      </c>
      <c r="G211" s="133"/>
      <c r="H211" s="133" t="s">
        <v>421</v>
      </c>
      <c r="I211" s="134"/>
      <c r="J211" s="146"/>
      <c r="K211" s="135">
        <f>SUM(K212:K214)</f>
        <v>3.6772499999999999</v>
      </c>
    </row>
    <row r="212" spans="1:11">
      <c r="A212" s="136" t="s">
        <v>1208</v>
      </c>
      <c r="B212" s="137" t="s">
        <v>792</v>
      </c>
      <c r="C212" s="137" t="s">
        <v>698</v>
      </c>
      <c r="D212" s="137">
        <v>6085</v>
      </c>
      <c r="E212" s="136" t="s">
        <v>1754</v>
      </c>
      <c r="F212" s="1033" t="s">
        <v>1703</v>
      </c>
      <c r="G212" s="1034"/>
      <c r="H212" s="137" t="s">
        <v>438</v>
      </c>
      <c r="I212" s="136">
        <v>0.16</v>
      </c>
      <c r="J212" s="136">
        <v>11.11</v>
      </c>
      <c r="K212" s="138">
        <f>I212*J212</f>
        <v>1.7775999999999998</v>
      </c>
    </row>
    <row r="213" spans="1:11">
      <c r="A213" s="136" t="s">
        <v>1208</v>
      </c>
      <c r="B213" s="137" t="s">
        <v>1705</v>
      </c>
      <c r="C213" s="137" t="s">
        <v>698</v>
      </c>
      <c r="D213" s="137">
        <v>88310</v>
      </c>
      <c r="E213" s="136" t="s">
        <v>435</v>
      </c>
      <c r="F213" s="1033" t="s">
        <v>1706</v>
      </c>
      <c r="G213" s="1034"/>
      <c r="H213" s="137" t="s">
        <v>412</v>
      </c>
      <c r="I213" s="136">
        <v>4.7E-2</v>
      </c>
      <c r="J213" s="136">
        <v>33.909999999999997</v>
      </c>
      <c r="K213" s="138">
        <f t="shared" ref="K213:K214" si="13">I213*J213</f>
        <v>1.5937699999999999</v>
      </c>
    </row>
    <row r="214" spans="1:11">
      <c r="A214" s="136" t="s">
        <v>1208</v>
      </c>
      <c r="B214" s="137" t="s">
        <v>1705</v>
      </c>
      <c r="C214" s="137" t="s">
        <v>698</v>
      </c>
      <c r="D214" s="137">
        <v>88316</v>
      </c>
      <c r="E214" s="136" t="s">
        <v>414</v>
      </c>
      <c r="F214" s="1033" t="s">
        <v>1706</v>
      </c>
      <c r="G214" s="1034"/>
      <c r="H214" s="137" t="s">
        <v>412</v>
      </c>
      <c r="I214" s="136">
        <v>1.2E-2</v>
      </c>
      <c r="J214" s="136">
        <v>25.49</v>
      </c>
      <c r="K214" s="138">
        <f t="shared" si="13"/>
        <v>0.30587999999999999</v>
      </c>
    </row>
    <row r="215" spans="1:11">
      <c r="A215" s="139"/>
      <c r="E215" s="139"/>
      <c r="F215" s="139"/>
      <c r="I215" s="139"/>
      <c r="J215" s="139"/>
      <c r="K215" s="140"/>
    </row>
    <row r="216" spans="1:11">
      <c r="A216" s="128"/>
      <c r="B216" s="129" t="s">
        <v>1691</v>
      </c>
      <c r="C216" s="129" t="s">
        <v>1692</v>
      </c>
      <c r="D216" s="129" t="s">
        <v>1693</v>
      </c>
      <c r="E216" s="130" t="s">
        <v>0</v>
      </c>
      <c r="F216" s="130" t="s">
        <v>1694</v>
      </c>
      <c r="G216" s="129"/>
      <c r="H216" s="129" t="s">
        <v>1695</v>
      </c>
      <c r="I216" s="130" t="s">
        <v>1696</v>
      </c>
      <c r="J216" s="130" t="s">
        <v>1697</v>
      </c>
      <c r="K216" s="131" t="s">
        <v>1698</v>
      </c>
    </row>
    <row r="217" spans="1:11" ht="35.25" customHeight="1">
      <c r="A217" s="132" t="s">
        <v>1755</v>
      </c>
      <c r="B217" s="133" t="s">
        <v>1700</v>
      </c>
      <c r="C217" s="133" t="s">
        <v>698</v>
      </c>
      <c r="D217" s="133">
        <v>96129</v>
      </c>
      <c r="E217" s="134" t="s">
        <v>621</v>
      </c>
      <c r="F217" s="134" t="s">
        <v>616</v>
      </c>
      <c r="G217" s="133"/>
      <c r="H217" s="133" t="s">
        <v>421</v>
      </c>
      <c r="I217" s="134"/>
      <c r="J217" s="146"/>
      <c r="K217" s="135">
        <f>SUM(K218:K221)</f>
        <v>37.677857599999996</v>
      </c>
    </row>
    <row r="218" spans="1:11">
      <c r="A218" s="136" t="s">
        <v>1208</v>
      </c>
      <c r="B218" s="137" t="s">
        <v>792</v>
      </c>
      <c r="C218" s="137" t="s">
        <v>698</v>
      </c>
      <c r="D218" s="137">
        <v>3767</v>
      </c>
      <c r="E218" s="136" t="s">
        <v>1756</v>
      </c>
      <c r="F218" s="1033" t="s">
        <v>1703</v>
      </c>
      <c r="G218" s="1034"/>
      <c r="H218" s="137" t="s">
        <v>411</v>
      </c>
      <c r="I218" s="136">
        <v>0.06</v>
      </c>
      <c r="J218" s="136">
        <v>1.35</v>
      </c>
      <c r="K218" s="138">
        <f>I218*J218</f>
        <v>8.1000000000000003E-2</v>
      </c>
    </row>
    <row r="219" spans="1:11">
      <c r="A219" s="136" t="s">
        <v>1208</v>
      </c>
      <c r="B219" s="137" t="s">
        <v>792</v>
      </c>
      <c r="C219" s="137" t="s">
        <v>698</v>
      </c>
      <c r="D219" s="137">
        <v>4056</v>
      </c>
      <c r="E219" s="136" t="s">
        <v>620</v>
      </c>
      <c r="F219" s="1033" t="s">
        <v>1703</v>
      </c>
      <c r="G219" s="1034"/>
      <c r="H219" s="137" t="s">
        <v>618</v>
      </c>
      <c r="I219" s="136">
        <v>1.04304</v>
      </c>
      <c r="J219" s="136">
        <v>7.19</v>
      </c>
      <c r="K219" s="138">
        <f>I219*J219</f>
        <v>7.4994576000000004</v>
      </c>
    </row>
    <row r="220" spans="1:11">
      <c r="A220" s="136" t="s">
        <v>1208</v>
      </c>
      <c r="B220" s="137" t="s">
        <v>1705</v>
      </c>
      <c r="C220" s="137" t="s">
        <v>698</v>
      </c>
      <c r="D220" s="137">
        <v>88310</v>
      </c>
      <c r="E220" s="136" t="s">
        <v>435</v>
      </c>
      <c r="F220" s="1033" t="s">
        <v>1706</v>
      </c>
      <c r="G220" s="1034"/>
      <c r="H220" s="137" t="s">
        <v>412</v>
      </c>
      <c r="I220" s="136">
        <v>0.747</v>
      </c>
      <c r="J220" s="136">
        <v>33.909999999999997</v>
      </c>
      <c r="K220" s="138">
        <f>I220*J220</f>
        <v>25.330769999999998</v>
      </c>
    </row>
    <row r="221" spans="1:11">
      <c r="A221" s="136" t="s">
        <v>1208</v>
      </c>
      <c r="B221" s="137" t="s">
        <v>1705</v>
      </c>
      <c r="C221" s="137" t="s">
        <v>698</v>
      </c>
      <c r="D221" s="137">
        <v>88316</v>
      </c>
      <c r="E221" s="136" t="s">
        <v>414</v>
      </c>
      <c r="F221" s="1033" t="s">
        <v>1706</v>
      </c>
      <c r="G221" s="1034"/>
      <c r="H221" s="137" t="s">
        <v>412</v>
      </c>
      <c r="I221" s="136">
        <v>0.187</v>
      </c>
      <c r="J221" s="136">
        <v>25.49</v>
      </c>
      <c r="K221" s="138">
        <f>I221*J221</f>
        <v>4.7666299999999993</v>
      </c>
    </row>
    <row r="222" spans="1:11">
      <c r="A222" s="139"/>
      <c r="E222" s="139"/>
      <c r="F222" s="139"/>
      <c r="I222" s="139"/>
      <c r="J222" s="139"/>
      <c r="K222" s="140"/>
    </row>
    <row r="223" spans="1:11">
      <c r="A223" s="128"/>
      <c r="B223" s="129" t="s">
        <v>1691</v>
      </c>
      <c r="C223" s="129" t="s">
        <v>1692</v>
      </c>
      <c r="D223" s="129" t="s">
        <v>1693</v>
      </c>
      <c r="E223" s="130" t="s">
        <v>0</v>
      </c>
      <c r="F223" s="130" t="s">
        <v>1694</v>
      </c>
      <c r="G223" s="129"/>
      <c r="H223" s="129" t="s">
        <v>1695</v>
      </c>
      <c r="I223" s="130" t="s">
        <v>1696</v>
      </c>
      <c r="J223" s="130" t="s">
        <v>1697</v>
      </c>
      <c r="K223" s="131" t="s">
        <v>1698</v>
      </c>
    </row>
    <row r="224" spans="1:11" ht="47.25">
      <c r="A224" s="132" t="s">
        <v>1757</v>
      </c>
      <c r="B224" s="133" t="s">
        <v>1700</v>
      </c>
      <c r="C224" s="133" t="s">
        <v>698</v>
      </c>
      <c r="D224" s="133">
        <v>95625</v>
      </c>
      <c r="E224" s="134" t="s">
        <v>619</v>
      </c>
      <c r="F224" s="134" t="s">
        <v>616</v>
      </c>
      <c r="G224" s="133"/>
      <c r="H224" s="133" t="s">
        <v>421</v>
      </c>
      <c r="I224" s="134"/>
      <c r="J224" s="146"/>
      <c r="K224" s="135">
        <f>SUM(K225:K227)</f>
        <v>29.665679999999995</v>
      </c>
    </row>
    <row r="225" spans="1:11">
      <c r="A225" s="136" t="s">
        <v>1208</v>
      </c>
      <c r="B225" s="137" t="s">
        <v>792</v>
      </c>
      <c r="C225" s="137" t="s">
        <v>698</v>
      </c>
      <c r="D225" s="137">
        <v>7356</v>
      </c>
      <c r="E225" s="136" t="s">
        <v>1758</v>
      </c>
      <c r="F225" s="1033" t="s">
        <v>1703</v>
      </c>
      <c r="G225" s="1034"/>
      <c r="H225" s="137" t="s">
        <v>438</v>
      </c>
      <c r="I225" s="136">
        <v>0.2</v>
      </c>
      <c r="J225" s="136">
        <v>27.82</v>
      </c>
      <c r="K225" s="138">
        <f>I225*J225</f>
        <v>5.5640000000000001</v>
      </c>
    </row>
    <row r="226" spans="1:11">
      <c r="A226" s="136" t="s">
        <v>1208</v>
      </c>
      <c r="B226" s="137" t="s">
        <v>1705</v>
      </c>
      <c r="C226" s="137" t="s">
        <v>698</v>
      </c>
      <c r="D226" s="137">
        <v>88310</v>
      </c>
      <c r="E226" s="136" t="s">
        <v>435</v>
      </c>
      <c r="F226" s="1033" t="s">
        <v>1706</v>
      </c>
      <c r="G226" s="1034"/>
      <c r="H226" s="137" t="s">
        <v>412</v>
      </c>
      <c r="I226" s="136">
        <v>0.59799999999999998</v>
      </c>
      <c r="J226" s="136">
        <v>33.909999999999997</v>
      </c>
      <c r="K226" s="138">
        <f t="shared" ref="K226:K227" si="14">I226*J226</f>
        <v>20.278179999999995</v>
      </c>
    </row>
    <row r="227" spans="1:11">
      <c r="A227" s="136" t="s">
        <v>1208</v>
      </c>
      <c r="B227" s="137" t="s">
        <v>1705</v>
      </c>
      <c r="C227" s="137" t="s">
        <v>698</v>
      </c>
      <c r="D227" s="137">
        <v>88316</v>
      </c>
      <c r="E227" s="136" t="s">
        <v>414</v>
      </c>
      <c r="F227" s="1033" t="s">
        <v>1706</v>
      </c>
      <c r="G227" s="1034"/>
      <c r="H227" s="137" t="s">
        <v>412</v>
      </c>
      <c r="I227" s="136">
        <v>0.15</v>
      </c>
      <c r="J227" s="136">
        <v>25.49</v>
      </c>
      <c r="K227" s="138">
        <f t="shared" si="14"/>
        <v>3.8234999999999997</v>
      </c>
    </row>
    <row r="228" spans="1:11">
      <c r="A228" s="139"/>
      <c r="E228" s="139"/>
      <c r="F228" s="139"/>
      <c r="I228" s="139"/>
      <c r="J228" s="139"/>
      <c r="K228" s="140"/>
    </row>
    <row r="229" spans="1:11">
      <c r="A229" s="128"/>
      <c r="B229" s="129" t="s">
        <v>1691</v>
      </c>
      <c r="C229" s="129" t="s">
        <v>1692</v>
      </c>
      <c r="D229" s="129" t="s">
        <v>1693</v>
      </c>
      <c r="E229" s="130" t="s">
        <v>0</v>
      </c>
      <c r="F229" s="130" t="s">
        <v>1694</v>
      </c>
      <c r="G229" s="129"/>
      <c r="H229" s="129" t="s">
        <v>1695</v>
      </c>
      <c r="I229" s="130" t="s">
        <v>1696</v>
      </c>
      <c r="J229" s="130" t="s">
        <v>1697</v>
      </c>
      <c r="K229" s="131" t="s">
        <v>1698</v>
      </c>
    </row>
    <row r="230" spans="1:11" ht="47.25">
      <c r="A230" s="132" t="s">
        <v>1759</v>
      </c>
      <c r="B230" s="133" t="s">
        <v>1700</v>
      </c>
      <c r="C230" s="133" t="s">
        <v>698</v>
      </c>
      <c r="D230" s="133">
        <v>95625</v>
      </c>
      <c r="E230" s="134" t="s">
        <v>619</v>
      </c>
      <c r="F230" s="134" t="s">
        <v>616</v>
      </c>
      <c r="G230" s="133"/>
      <c r="H230" s="133" t="s">
        <v>421</v>
      </c>
      <c r="I230" s="134"/>
      <c r="J230" s="146"/>
      <c r="K230" s="135">
        <f>SUM(K231:K233)</f>
        <v>29.665679999999995</v>
      </c>
    </row>
    <row r="231" spans="1:11">
      <c r="A231" s="136" t="s">
        <v>1208</v>
      </c>
      <c r="B231" s="137" t="s">
        <v>792</v>
      </c>
      <c r="C231" s="137" t="s">
        <v>698</v>
      </c>
      <c r="D231" s="137">
        <v>7356</v>
      </c>
      <c r="E231" s="136" t="s">
        <v>1758</v>
      </c>
      <c r="F231" s="1033" t="s">
        <v>1703</v>
      </c>
      <c r="G231" s="1034"/>
      <c r="H231" s="137" t="s">
        <v>438</v>
      </c>
      <c r="I231" s="142">
        <v>0.2</v>
      </c>
      <c r="J231" s="142">
        <v>27.82</v>
      </c>
      <c r="K231" s="138">
        <f>I231*J231</f>
        <v>5.5640000000000001</v>
      </c>
    </row>
    <row r="232" spans="1:11">
      <c r="A232" s="136" t="s">
        <v>1208</v>
      </c>
      <c r="B232" s="137" t="s">
        <v>1705</v>
      </c>
      <c r="C232" s="137" t="s">
        <v>698</v>
      </c>
      <c r="D232" s="137">
        <v>88310</v>
      </c>
      <c r="E232" s="136" t="s">
        <v>435</v>
      </c>
      <c r="F232" s="1033" t="s">
        <v>1706</v>
      </c>
      <c r="G232" s="1034"/>
      <c r="H232" s="137" t="s">
        <v>412</v>
      </c>
      <c r="I232" s="142">
        <v>0.59799999999999998</v>
      </c>
      <c r="J232" s="142">
        <v>33.909999999999997</v>
      </c>
      <c r="K232" s="138">
        <f t="shared" ref="K232:K233" si="15">I232*J232</f>
        <v>20.278179999999995</v>
      </c>
    </row>
    <row r="233" spans="1:11">
      <c r="A233" s="136" t="s">
        <v>1208</v>
      </c>
      <c r="B233" s="137" t="s">
        <v>1705</v>
      </c>
      <c r="C233" s="137" t="s">
        <v>698</v>
      </c>
      <c r="D233" s="137">
        <v>88316</v>
      </c>
      <c r="E233" s="136" t="s">
        <v>414</v>
      </c>
      <c r="F233" s="1033" t="s">
        <v>1706</v>
      </c>
      <c r="G233" s="1034"/>
      <c r="H233" s="137" t="s">
        <v>412</v>
      </c>
      <c r="I233" s="142">
        <v>0.15</v>
      </c>
      <c r="J233" s="142">
        <v>25.49</v>
      </c>
      <c r="K233" s="138">
        <f t="shared" si="15"/>
        <v>3.8234999999999997</v>
      </c>
    </row>
    <row r="234" spans="1:11">
      <c r="A234" s="139"/>
      <c r="E234" s="139"/>
      <c r="F234" s="139"/>
      <c r="I234" s="139"/>
      <c r="J234" s="139"/>
      <c r="K234" s="140"/>
    </row>
    <row r="235" spans="1:11">
      <c r="A235" s="128"/>
      <c r="B235" s="129" t="s">
        <v>1691</v>
      </c>
      <c r="C235" s="129" t="s">
        <v>1692</v>
      </c>
      <c r="D235" s="129" t="s">
        <v>1693</v>
      </c>
      <c r="E235" s="130" t="s">
        <v>0</v>
      </c>
      <c r="F235" s="130" t="s">
        <v>1694</v>
      </c>
      <c r="G235" s="129"/>
      <c r="H235" s="129" t="s">
        <v>1695</v>
      </c>
      <c r="I235" s="130" t="s">
        <v>1696</v>
      </c>
      <c r="J235" s="130" t="s">
        <v>1697</v>
      </c>
      <c r="K235" s="131" t="s">
        <v>1698</v>
      </c>
    </row>
    <row r="236" spans="1:11" ht="50.1" customHeight="1">
      <c r="A236" s="132" t="s">
        <v>1760</v>
      </c>
      <c r="B236" s="133" t="s">
        <v>1700</v>
      </c>
      <c r="C236" s="133" t="s">
        <v>698</v>
      </c>
      <c r="D236" s="133">
        <v>91313</v>
      </c>
      <c r="E236" s="134" t="s">
        <v>458</v>
      </c>
      <c r="F236" s="134" t="s">
        <v>450</v>
      </c>
      <c r="G236" s="133"/>
      <c r="H236" s="133" t="s">
        <v>411</v>
      </c>
      <c r="I236" s="134"/>
      <c r="J236" s="146"/>
      <c r="K236" s="135">
        <f>SUM(K237:K240)</f>
        <v>953.678</v>
      </c>
    </row>
    <row r="237" spans="1:11" ht="24.75">
      <c r="A237" s="136" t="s">
        <v>1208</v>
      </c>
      <c r="B237" s="137" t="s">
        <v>1705</v>
      </c>
      <c r="C237" s="137" t="s">
        <v>698</v>
      </c>
      <c r="D237" s="137">
        <v>90821</v>
      </c>
      <c r="E237" s="136" t="s">
        <v>452</v>
      </c>
      <c r="F237" s="1033" t="s">
        <v>1761</v>
      </c>
      <c r="G237" s="1034"/>
      <c r="H237" s="137" t="s">
        <v>411</v>
      </c>
      <c r="I237" s="136">
        <v>1</v>
      </c>
      <c r="J237" s="136">
        <v>357.19</v>
      </c>
      <c r="K237" s="138">
        <f>I237*J237</f>
        <v>357.19</v>
      </c>
    </row>
    <row r="238" spans="1:11" ht="24.75">
      <c r="A238" s="136" t="s">
        <v>1208</v>
      </c>
      <c r="B238" s="137" t="s">
        <v>1705</v>
      </c>
      <c r="C238" s="137" t="s">
        <v>698</v>
      </c>
      <c r="D238" s="137">
        <v>91292</v>
      </c>
      <c r="E238" s="136" t="s">
        <v>454</v>
      </c>
      <c r="F238" s="1033" t="s">
        <v>1761</v>
      </c>
      <c r="G238" s="1034"/>
      <c r="H238" s="137" t="s">
        <v>411</v>
      </c>
      <c r="I238" s="136">
        <v>1</v>
      </c>
      <c r="J238" s="136">
        <v>397.34</v>
      </c>
      <c r="K238" s="138">
        <f t="shared" ref="K238:K240" si="16">I238*J238</f>
        <v>397.34</v>
      </c>
    </row>
    <row r="239" spans="1:11" ht="24.75">
      <c r="A239" s="136" t="s">
        <v>1208</v>
      </c>
      <c r="B239" s="137" t="s">
        <v>1705</v>
      </c>
      <c r="C239" s="137" t="s">
        <v>698</v>
      </c>
      <c r="D239" s="137">
        <v>91307</v>
      </c>
      <c r="E239" s="136" t="s">
        <v>456</v>
      </c>
      <c r="F239" s="1033" t="s">
        <v>1761</v>
      </c>
      <c r="G239" s="1034"/>
      <c r="H239" s="137" t="s">
        <v>411</v>
      </c>
      <c r="I239" s="136">
        <v>1</v>
      </c>
      <c r="J239" s="136">
        <v>103.01</v>
      </c>
      <c r="K239" s="138">
        <f t="shared" si="16"/>
        <v>103.01</v>
      </c>
    </row>
    <row r="240" spans="1:11" ht="24.75">
      <c r="A240" s="136" t="s">
        <v>1208</v>
      </c>
      <c r="B240" s="137" t="s">
        <v>1705</v>
      </c>
      <c r="C240" s="137" t="s">
        <v>698</v>
      </c>
      <c r="D240" s="137">
        <v>100660</v>
      </c>
      <c r="E240" s="136" t="s">
        <v>457</v>
      </c>
      <c r="F240" s="1033" t="s">
        <v>1761</v>
      </c>
      <c r="G240" s="1034"/>
      <c r="H240" s="137" t="s">
        <v>405</v>
      </c>
      <c r="I240" s="136">
        <v>9.8000000000000007</v>
      </c>
      <c r="J240" s="136">
        <v>9.81</v>
      </c>
      <c r="K240" s="138">
        <f t="shared" si="16"/>
        <v>96.138000000000005</v>
      </c>
    </row>
    <row r="241" spans="1:11">
      <c r="A241" s="139"/>
      <c r="E241" s="139"/>
      <c r="F241" s="139"/>
      <c r="I241" s="139"/>
      <c r="J241" s="139"/>
      <c r="K241" s="140"/>
    </row>
    <row r="242" spans="1:11">
      <c r="A242" s="128"/>
      <c r="B242" s="129" t="s">
        <v>1691</v>
      </c>
      <c r="C242" s="129" t="s">
        <v>1692</v>
      </c>
      <c r="D242" s="129" t="s">
        <v>1693</v>
      </c>
      <c r="E242" s="130" t="s">
        <v>0</v>
      </c>
      <c r="F242" s="130" t="s">
        <v>1694</v>
      </c>
      <c r="G242" s="129"/>
      <c r="H242" s="129" t="s">
        <v>1695</v>
      </c>
      <c r="I242" s="130" t="s">
        <v>1696</v>
      </c>
      <c r="J242" s="130" t="s">
        <v>1697</v>
      </c>
      <c r="K242" s="131" t="s">
        <v>1698</v>
      </c>
    </row>
    <row r="243" spans="1:11" ht="50.1" customHeight="1">
      <c r="A243" s="132" t="s">
        <v>1762</v>
      </c>
      <c r="B243" s="133" t="s">
        <v>1700</v>
      </c>
      <c r="C243" s="133" t="s">
        <v>698</v>
      </c>
      <c r="D243" s="133">
        <v>91314</v>
      </c>
      <c r="E243" s="134" t="s">
        <v>459</v>
      </c>
      <c r="F243" s="134" t="s">
        <v>450</v>
      </c>
      <c r="G243" s="133"/>
      <c r="H243" s="133" t="s">
        <v>411</v>
      </c>
      <c r="I243" s="134"/>
      <c r="J243" s="146"/>
      <c r="K243" s="135">
        <f>SUM(K244:K247)</f>
        <v>999.45</v>
      </c>
    </row>
    <row r="244" spans="1:11" ht="24.75">
      <c r="A244" s="136" t="s">
        <v>1208</v>
      </c>
      <c r="B244" s="137" t="s">
        <v>1705</v>
      </c>
      <c r="C244" s="137" t="s">
        <v>698</v>
      </c>
      <c r="D244" s="137">
        <v>90822</v>
      </c>
      <c r="E244" s="136" t="s">
        <v>425</v>
      </c>
      <c r="F244" s="1033" t="s">
        <v>1761</v>
      </c>
      <c r="G244" s="1034"/>
      <c r="H244" s="137" t="s">
        <v>411</v>
      </c>
      <c r="I244" s="136">
        <v>1</v>
      </c>
      <c r="J244" s="136">
        <v>381.9</v>
      </c>
      <c r="K244" s="138">
        <f>I244*J244</f>
        <v>381.9</v>
      </c>
    </row>
    <row r="245" spans="1:11" ht="24.75">
      <c r="A245" s="136" t="s">
        <v>1208</v>
      </c>
      <c r="B245" s="137" t="s">
        <v>1705</v>
      </c>
      <c r="C245" s="137" t="s">
        <v>698</v>
      </c>
      <c r="D245" s="137">
        <v>91292</v>
      </c>
      <c r="E245" s="136" t="s">
        <v>454</v>
      </c>
      <c r="F245" s="1033" t="s">
        <v>1761</v>
      </c>
      <c r="G245" s="1034"/>
      <c r="H245" s="137" t="s">
        <v>411</v>
      </c>
      <c r="I245" s="136">
        <v>1</v>
      </c>
      <c r="J245" s="136">
        <v>397.34</v>
      </c>
      <c r="K245" s="138">
        <f t="shared" ref="K245:K247" si="17">I245*J245</f>
        <v>397.34</v>
      </c>
    </row>
    <row r="246" spans="1:11" ht="24.75">
      <c r="A246" s="136" t="s">
        <v>1208</v>
      </c>
      <c r="B246" s="137" t="s">
        <v>1705</v>
      </c>
      <c r="C246" s="137" t="s">
        <v>698</v>
      </c>
      <c r="D246" s="137">
        <v>91304</v>
      </c>
      <c r="E246" s="136" t="s">
        <v>455</v>
      </c>
      <c r="F246" s="1033" t="s">
        <v>1761</v>
      </c>
      <c r="G246" s="1034"/>
      <c r="H246" s="137" t="s">
        <v>411</v>
      </c>
      <c r="I246" s="136">
        <v>1</v>
      </c>
      <c r="J246" s="136">
        <v>122.11</v>
      </c>
      <c r="K246" s="138">
        <f t="shared" si="17"/>
        <v>122.11</v>
      </c>
    </row>
    <row r="247" spans="1:11" ht="24.75">
      <c r="A247" s="136" t="s">
        <v>1208</v>
      </c>
      <c r="B247" s="137" t="s">
        <v>1705</v>
      </c>
      <c r="C247" s="137" t="s">
        <v>698</v>
      </c>
      <c r="D247" s="137">
        <v>100660</v>
      </c>
      <c r="E247" s="136" t="s">
        <v>457</v>
      </c>
      <c r="F247" s="1033" t="s">
        <v>1761</v>
      </c>
      <c r="G247" s="1034"/>
      <c r="H247" s="137" t="s">
        <v>405</v>
      </c>
      <c r="I247" s="136">
        <v>10</v>
      </c>
      <c r="J247" s="136">
        <v>9.81</v>
      </c>
      <c r="K247" s="138">
        <f t="shared" si="17"/>
        <v>98.100000000000009</v>
      </c>
    </row>
    <row r="248" spans="1:11">
      <c r="A248" s="139"/>
      <c r="E248" s="139"/>
      <c r="F248" s="139"/>
      <c r="I248" s="139"/>
      <c r="J248" s="139"/>
      <c r="K248" s="140"/>
    </row>
    <row r="249" spans="1:11">
      <c r="A249" s="128"/>
      <c r="B249" s="129" t="s">
        <v>1691</v>
      </c>
      <c r="C249" s="129" t="s">
        <v>1692</v>
      </c>
      <c r="D249" s="129" t="s">
        <v>1693</v>
      </c>
      <c r="E249" s="130" t="s">
        <v>0</v>
      </c>
      <c r="F249" s="130" t="s">
        <v>1694</v>
      </c>
      <c r="G249" s="129"/>
      <c r="H249" s="129" t="s">
        <v>1695</v>
      </c>
      <c r="I249" s="130" t="s">
        <v>1696</v>
      </c>
      <c r="J249" s="130" t="s">
        <v>1697</v>
      </c>
      <c r="K249" s="131" t="s">
        <v>1698</v>
      </c>
    </row>
    <row r="250" spans="1:11" ht="63">
      <c r="A250" s="132" t="s">
        <v>1763</v>
      </c>
      <c r="B250" s="133" t="s">
        <v>1700</v>
      </c>
      <c r="C250" s="133" t="s">
        <v>698</v>
      </c>
      <c r="D250" s="133">
        <v>91315</v>
      </c>
      <c r="E250" s="134" t="s">
        <v>460</v>
      </c>
      <c r="F250" s="134" t="s">
        <v>450</v>
      </c>
      <c r="G250" s="133"/>
      <c r="H250" s="133" t="s">
        <v>411</v>
      </c>
      <c r="I250" s="134"/>
      <c r="J250" s="146"/>
      <c r="K250" s="135">
        <f>SUM(K251:K254)</f>
        <v>1081.1220000000001</v>
      </c>
    </row>
    <row r="251" spans="1:11" ht="24.75">
      <c r="A251" s="136" t="s">
        <v>1208</v>
      </c>
      <c r="B251" s="137" t="s">
        <v>1705</v>
      </c>
      <c r="C251" s="137" t="s">
        <v>698</v>
      </c>
      <c r="D251" s="137">
        <v>90823</v>
      </c>
      <c r="E251" s="136" t="s">
        <v>453</v>
      </c>
      <c r="F251" s="1033" t="s">
        <v>1761</v>
      </c>
      <c r="G251" s="1034"/>
      <c r="H251" s="137" t="s">
        <v>411</v>
      </c>
      <c r="I251" s="136">
        <v>1</v>
      </c>
      <c r="J251" s="136">
        <v>461.61</v>
      </c>
      <c r="K251" s="138">
        <f>I251*J251</f>
        <v>461.61</v>
      </c>
    </row>
    <row r="252" spans="1:11" ht="24.75">
      <c r="A252" s="136" t="s">
        <v>1208</v>
      </c>
      <c r="B252" s="137" t="s">
        <v>1705</v>
      </c>
      <c r="C252" s="137" t="s">
        <v>698</v>
      </c>
      <c r="D252" s="137">
        <v>91292</v>
      </c>
      <c r="E252" s="136" t="s">
        <v>454</v>
      </c>
      <c r="F252" s="1033" t="s">
        <v>1761</v>
      </c>
      <c r="G252" s="1034"/>
      <c r="H252" s="137" t="s">
        <v>411</v>
      </c>
      <c r="I252" s="136">
        <v>1</v>
      </c>
      <c r="J252" s="136">
        <v>397.34</v>
      </c>
      <c r="K252" s="138">
        <f t="shared" ref="K252:K254" si="18">I252*J252</f>
        <v>397.34</v>
      </c>
    </row>
    <row r="253" spans="1:11" ht="24.75">
      <c r="A253" s="136" t="s">
        <v>1208</v>
      </c>
      <c r="B253" s="137" t="s">
        <v>1705</v>
      </c>
      <c r="C253" s="137" t="s">
        <v>698</v>
      </c>
      <c r="D253" s="137">
        <v>91304</v>
      </c>
      <c r="E253" s="136" t="s">
        <v>455</v>
      </c>
      <c r="F253" s="1033" t="s">
        <v>1761</v>
      </c>
      <c r="G253" s="1034"/>
      <c r="H253" s="137" t="s">
        <v>411</v>
      </c>
      <c r="I253" s="136">
        <v>1</v>
      </c>
      <c r="J253" s="136">
        <v>122.11</v>
      </c>
      <c r="K253" s="138">
        <f t="shared" si="18"/>
        <v>122.11</v>
      </c>
    </row>
    <row r="254" spans="1:11" ht="24.75">
      <c r="A254" s="136" t="s">
        <v>1208</v>
      </c>
      <c r="B254" s="137" t="s">
        <v>1705</v>
      </c>
      <c r="C254" s="137" t="s">
        <v>698</v>
      </c>
      <c r="D254" s="137">
        <v>100660</v>
      </c>
      <c r="E254" s="136" t="s">
        <v>457</v>
      </c>
      <c r="F254" s="1033" t="s">
        <v>1761</v>
      </c>
      <c r="G254" s="1034"/>
      <c r="H254" s="137" t="s">
        <v>405</v>
      </c>
      <c r="I254" s="136">
        <v>10.199999999999999</v>
      </c>
      <c r="J254" s="136">
        <v>9.81</v>
      </c>
      <c r="K254" s="138">
        <f t="shared" si="18"/>
        <v>100.062</v>
      </c>
    </row>
    <row r="255" spans="1:11">
      <c r="A255" s="139"/>
      <c r="E255" s="139"/>
      <c r="F255" s="139"/>
      <c r="I255" s="139"/>
      <c r="J255" s="139"/>
      <c r="K255" s="140"/>
    </row>
    <row r="256" spans="1:11">
      <c r="A256" s="128"/>
      <c r="B256" s="129" t="s">
        <v>1691</v>
      </c>
      <c r="C256" s="129" t="s">
        <v>1692</v>
      </c>
      <c r="D256" s="129" t="s">
        <v>1693</v>
      </c>
      <c r="E256" s="130" t="s">
        <v>0</v>
      </c>
      <c r="F256" s="130" t="s">
        <v>1694</v>
      </c>
      <c r="G256" s="129"/>
      <c r="H256" s="129" t="s">
        <v>1695</v>
      </c>
      <c r="I256" s="130" t="s">
        <v>1696</v>
      </c>
      <c r="J256" s="130" t="s">
        <v>1697</v>
      </c>
      <c r="K256" s="131" t="s">
        <v>1698</v>
      </c>
    </row>
    <row r="257" spans="1:11" ht="63">
      <c r="A257" s="132" t="s">
        <v>1764</v>
      </c>
      <c r="B257" s="133" t="s">
        <v>1700</v>
      </c>
      <c r="C257" s="133" t="s">
        <v>698</v>
      </c>
      <c r="D257" s="133">
        <v>100669</v>
      </c>
      <c r="E257" s="134" t="s">
        <v>461</v>
      </c>
      <c r="F257" s="134" t="s">
        <v>450</v>
      </c>
      <c r="G257" s="133"/>
      <c r="H257" s="133" t="s">
        <v>421</v>
      </c>
      <c r="I257" s="134"/>
      <c r="J257" s="146"/>
      <c r="K257" s="135">
        <f>SUM(K258:K264)</f>
        <v>960.87451706600007</v>
      </c>
    </row>
    <row r="258" spans="1:11">
      <c r="A258" s="136" t="s">
        <v>1208</v>
      </c>
      <c r="B258" s="137" t="s">
        <v>792</v>
      </c>
      <c r="C258" s="137" t="s">
        <v>698</v>
      </c>
      <c r="D258" s="137">
        <v>142</v>
      </c>
      <c r="E258" s="136" t="s">
        <v>441</v>
      </c>
      <c r="F258" s="1033" t="s">
        <v>1703</v>
      </c>
      <c r="G258" s="1034"/>
      <c r="H258" s="137" t="s">
        <v>442</v>
      </c>
      <c r="I258" s="136">
        <v>0.43290000000000001</v>
      </c>
      <c r="J258" s="136">
        <v>30.59</v>
      </c>
      <c r="K258" s="138">
        <f>I258*J258</f>
        <v>13.242411000000001</v>
      </c>
    </row>
    <row r="259" spans="1:11" ht="36.75">
      <c r="A259" s="136" t="s">
        <v>1208</v>
      </c>
      <c r="B259" s="137" t="s">
        <v>792</v>
      </c>
      <c r="C259" s="137" t="s">
        <v>698</v>
      </c>
      <c r="D259" s="137">
        <v>3437</v>
      </c>
      <c r="E259" s="136" t="s">
        <v>462</v>
      </c>
      <c r="F259" s="1033" t="s">
        <v>1703</v>
      </c>
      <c r="G259" s="1034"/>
      <c r="H259" s="137" t="s">
        <v>421</v>
      </c>
      <c r="I259" s="136">
        <v>1</v>
      </c>
      <c r="J259" s="136">
        <v>791.2</v>
      </c>
      <c r="K259" s="138">
        <f t="shared" ref="K259:K264" si="19">I259*J259</f>
        <v>791.2</v>
      </c>
    </row>
    <row r="260" spans="1:11" ht="24.75">
      <c r="A260" s="136" t="s">
        <v>1208</v>
      </c>
      <c r="B260" s="137" t="s">
        <v>792</v>
      </c>
      <c r="C260" s="137" t="s">
        <v>698</v>
      </c>
      <c r="D260" s="137">
        <v>4430</v>
      </c>
      <c r="E260" s="136" t="s">
        <v>428</v>
      </c>
      <c r="F260" s="1033" t="s">
        <v>1703</v>
      </c>
      <c r="G260" s="1034"/>
      <c r="H260" s="137" t="s">
        <v>405</v>
      </c>
      <c r="I260" s="136">
        <v>0.89470000000000005</v>
      </c>
      <c r="J260" s="136">
        <v>18</v>
      </c>
      <c r="K260" s="138">
        <f t="shared" si="19"/>
        <v>16.104600000000001</v>
      </c>
    </row>
    <row r="261" spans="1:11">
      <c r="A261" s="136" t="s">
        <v>1208</v>
      </c>
      <c r="B261" s="137" t="s">
        <v>792</v>
      </c>
      <c r="C261" s="137" t="s">
        <v>698</v>
      </c>
      <c r="D261" s="137">
        <v>5067</v>
      </c>
      <c r="E261" s="136" t="s">
        <v>1765</v>
      </c>
      <c r="F261" s="1033" t="s">
        <v>1703</v>
      </c>
      <c r="G261" s="1034"/>
      <c r="H261" s="137" t="s">
        <v>415</v>
      </c>
      <c r="I261" s="136">
        <v>2.2222599999999999E-2</v>
      </c>
      <c r="J261" s="136">
        <v>28.41</v>
      </c>
      <c r="K261" s="138">
        <f t="shared" si="19"/>
        <v>0.63134406599999993</v>
      </c>
    </row>
    <row r="262" spans="1:11" ht="24.75">
      <c r="A262" s="136" t="s">
        <v>1208</v>
      </c>
      <c r="B262" s="137" t="s">
        <v>792</v>
      </c>
      <c r="C262" s="137" t="s">
        <v>698</v>
      </c>
      <c r="D262" s="137">
        <v>20017</v>
      </c>
      <c r="E262" s="136" t="s">
        <v>1766</v>
      </c>
      <c r="F262" s="1033" t="s">
        <v>1703</v>
      </c>
      <c r="G262" s="1034"/>
      <c r="H262" s="137" t="s">
        <v>405</v>
      </c>
      <c r="I262" s="136">
        <v>2.4</v>
      </c>
      <c r="J262" s="136">
        <v>9.31</v>
      </c>
      <c r="K262" s="138">
        <f t="shared" si="19"/>
        <v>22.344000000000001</v>
      </c>
    </row>
    <row r="263" spans="1:11">
      <c r="A263" s="136" t="s">
        <v>1208</v>
      </c>
      <c r="B263" s="137" t="s">
        <v>1705</v>
      </c>
      <c r="C263" s="137" t="s">
        <v>698</v>
      </c>
      <c r="D263" s="137">
        <v>88261</v>
      </c>
      <c r="E263" s="136" t="s">
        <v>451</v>
      </c>
      <c r="F263" s="1033" t="s">
        <v>1706</v>
      </c>
      <c r="G263" s="1034"/>
      <c r="H263" s="137" t="s">
        <v>412</v>
      </c>
      <c r="I263" s="136">
        <v>2.4954999999999998</v>
      </c>
      <c r="J263" s="136">
        <v>34.28</v>
      </c>
      <c r="K263" s="138">
        <f t="shared" si="19"/>
        <v>85.545739999999995</v>
      </c>
    </row>
    <row r="264" spans="1:11">
      <c r="A264" s="136" t="s">
        <v>1208</v>
      </c>
      <c r="B264" s="137" t="s">
        <v>1705</v>
      </c>
      <c r="C264" s="137" t="s">
        <v>698</v>
      </c>
      <c r="D264" s="137">
        <v>88316</v>
      </c>
      <c r="E264" s="136" t="s">
        <v>414</v>
      </c>
      <c r="F264" s="1033" t="s">
        <v>1706</v>
      </c>
      <c r="G264" s="1034"/>
      <c r="H264" s="137" t="s">
        <v>412</v>
      </c>
      <c r="I264" s="136">
        <v>1.2478</v>
      </c>
      <c r="J264" s="136">
        <v>25.49</v>
      </c>
      <c r="K264" s="138">
        <f t="shared" si="19"/>
        <v>31.806421999999998</v>
      </c>
    </row>
    <row r="265" spans="1:11">
      <c r="A265" s="139"/>
      <c r="E265" s="139"/>
      <c r="F265" s="139"/>
      <c r="I265" s="139"/>
      <c r="J265" s="139"/>
      <c r="K265" s="140"/>
    </row>
    <row r="266" spans="1:11">
      <c r="A266" s="128"/>
      <c r="B266" s="129" t="s">
        <v>1691</v>
      </c>
      <c r="C266" s="129" t="s">
        <v>1692</v>
      </c>
      <c r="D266" s="129" t="s">
        <v>1693</v>
      </c>
      <c r="E266" s="130" t="s">
        <v>0</v>
      </c>
      <c r="F266" s="130" t="s">
        <v>1694</v>
      </c>
      <c r="G266" s="129"/>
      <c r="H266" s="129" t="s">
        <v>1695</v>
      </c>
      <c r="I266" s="130" t="s">
        <v>1696</v>
      </c>
      <c r="J266" s="130" t="s">
        <v>1697</v>
      </c>
      <c r="K266" s="131" t="s">
        <v>1698</v>
      </c>
    </row>
    <row r="267" spans="1:11" ht="47.25">
      <c r="A267" s="132" t="s">
        <v>1767</v>
      </c>
      <c r="B267" s="133" t="s">
        <v>1700</v>
      </c>
      <c r="C267" s="133" t="s">
        <v>698</v>
      </c>
      <c r="D267" s="133">
        <v>86932</v>
      </c>
      <c r="E267" s="134" t="s">
        <v>586</v>
      </c>
      <c r="F267" s="134" t="s">
        <v>516</v>
      </c>
      <c r="G267" s="133"/>
      <c r="H267" s="133" t="s">
        <v>411</v>
      </c>
      <c r="I267" s="134"/>
      <c r="J267" s="146"/>
      <c r="K267" s="135">
        <f>SUM(K268:K269)</f>
        <v>610.79</v>
      </c>
    </row>
    <row r="268" spans="1:11">
      <c r="A268" s="136" t="s">
        <v>1208</v>
      </c>
      <c r="B268" s="137" t="s">
        <v>1705</v>
      </c>
      <c r="C268" s="137" t="s">
        <v>698</v>
      </c>
      <c r="D268" s="137">
        <v>86887</v>
      </c>
      <c r="E268" s="136" t="s">
        <v>580</v>
      </c>
      <c r="F268" s="1033" t="s">
        <v>1768</v>
      </c>
      <c r="G268" s="1034"/>
      <c r="H268" s="137" t="s">
        <v>411</v>
      </c>
      <c r="I268" s="136">
        <v>1</v>
      </c>
      <c r="J268" s="136">
        <v>46.18</v>
      </c>
      <c r="K268" s="138">
        <f>I268*J268</f>
        <v>46.18</v>
      </c>
    </row>
    <row r="269" spans="1:11" ht="24.75">
      <c r="A269" s="136" t="s">
        <v>1208</v>
      </c>
      <c r="B269" s="137" t="s">
        <v>1705</v>
      </c>
      <c r="C269" s="137" t="s">
        <v>698</v>
      </c>
      <c r="D269" s="137">
        <v>86888</v>
      </c>
      <c r="E269" s="136" t="s">
        <v>423</v>
      </c>
      <c r="F269" s="1033" t="s">
        <v>1768</v>
      </c>
      <c r="G269" s="1034"/>
      <c r="H269" s="137" t="s">
        <v>411</v>
      </c>
      <c r="I269" s="136">
        <v>1</v>
      </c>
      <c r="J269" s="136">
        <v>564.61</v>
      </c>
      <c r="K269" s="138">
        <f>I269*J269</f>
        <v>564.61</v>
      </c>
    </row>
    <row r="270" spans="1:11">
      <c r="A270" s="139"/>
      <c r="E270" s="139"/>
      <c r="F270" s="139"/>
      <c r="I270" s="139"/>
      <c r="J270" s="139"/>
      <c r="K270" s="140"/>
    </row>
    <row r="271" spans="1:11">
      <c r="A271" s="128"/>
      <c r="B271" s="129" t="s">
        <v>1691</v>
      </c>
      <c r="C271" s="129" t="s">
        <v>1692</v>
      </c>
      <c r="D271" s="129" t="s">
        <v>1693</v>
      </c>
      <c r="E271" s="130" t="s">
        <v>0</v>
      </c>
      <c r="F271" s="130" t="s">
        <v>1694</v>
      </c>
      <c r="G271" s="129"/>
      <c r="H271" s="129" t="s">
        <v>1695</v>
      </c>
      <c r="I271" s="130" t="s">
        <v>1696</v>
      </c>
      <c r="J271" s="130" t="s">
        <v>1697</v>
      </c>
      <c r="K271" s="131" t="s">
        <v>1698</v>
      </c>
    </row>
    <row r="272" spans="1:11" ht="50.1" customHeight="1">
      <c r="A272" s="132" t="s">
        <v>1769</v>
      </c>
      <c r="B272" s="133" t="s">
        <v>1700</v>
      </c>
      <c r="C272" s="133" t="s">
        <v>698</v>
      </c>
      <c r="D272" s="133">
        <v>95472</v>
      </c>
      <c r="E272" s="134" t="s">
        <v>589</v>
      </c>
      <c r="F272" s="134" t="s">
        <v>516</v>
      </c>
      <c r="G272" s="133"/>
      <c r="H272" s="133" t="s">
        <v>411</v>
      </c>
      <c r="I272" s="134"/>
      <c r="J272" s="135">
        <f>SUM(J273:J274)</f>
        <v>893.52</v>
      </c>
      <c r="K272" s="135">
        <f>SUM(K273:K274)</f>
        <v>893.52</v>
      </c>
    </row>
    <row r="273" spans="1:11" ht="24.75">
      <c r="A273" s="136" t="s">
        <v>1208</v>
      </c>
      <c r="B273" s="137" t="s">
        <v>792</v>
      </c>
      <c r="C273" s="137" t="s">
        <v>698</v>
      </c>
      <c r="D273" s="137">
        <v>6142</v>
      </c>
      <c r="E273" s="136" t="s">
        <v>587</v>
      </c>
      <c r="F273" s="1033" t="s">
        <v>1703</v>
      </c>
      <c r="G273" s="1034"/>
      <c r="H273" s="137" t="s">
        <v>411</v>
      </c>
      <c r="I273" s="136">
        <v>1</v>
      </c>
      <c r="J273" s="136">
        <v>10.68</v>
      </c>
      <c r="K273" s="138">
        <f>I273*J273</f>
        <v>10.68</v>
      </c>
    </row>
    <row r="274" spans="1:11" ht="24.75">
      <c r="A274" s="136" t="s">
        <v>1208</v>
      </c>
      <c r="B274" s="137" t="s">
        <v>1705</v>
      </c>
      <c r="C274" s="137" t="s">
        <v>698</v>
      </c>
      <c r="D274" s="137">
        <v>95471</v>
      </c>
      <c r="E274" s="136" t="s">
        <v>588</v>
      </c>
      <c r="F274" s="1033" t="s">
        <v>1768</v>
      </c>
      <c r="G274" s="1034"/>
      <c r="H274" s="137" t="s">
        <v>411</v>
      </c>
      <c r="I274" s="136">
        <v>1</v>
      </c>
      <c r="J274" s="136">
        <v>882.84</v>
      </c>
      <c r="K274" s="138">
        <f>I274*J274</f>
        <v>882.84</v>
      </c>
    </row>
    <row r="275" spans="1:11">
      <c r="A275" s="139"/>
      <c r="E275" s="139"/>
      <c r="F275" s="139"/>
      <c r="I275" s="139"/>
      <c r="J275" s="139"/>
      <c r="K275" s="140"/>
    </row>
    <row r="276" spans="1:11">
      <c r="A276" s="128"/>
      <c r="B276" s="129" t="s">
        <v>1691</v>
      </c>
      <c r="C276" s="129" t="s">
        <v>1692</v>
      </c>
      <c r="D276" s="129" t="s">
        <v>1693</v>
      </c>
      <c r="E276" s="130" t="s">
        <v>0</v>
      </c>
      <c r="F276" s="130" t="s">
        <v>1694</v>
      </c>
      <c r="G276" s="129"/>
      <c r="H276" s="129" t="s">
        <v>1695</v>
      </c>
      <c r="I276" s="130" t="s">
        <v>1696</v>
      </c>
      <c r="J276" s="130" t="s">
        <v>1697</v>
      </c>
      <c r="K276" s="131" t="s">
        <v>1698</v>
      </c>
    </row>
    <row r="277" spans="1:11" ht="50.1" customHeight="1">
      <c r="A277" s="132" t="s">
        <v>1770</v>
      </c>
      <c r="B277" s="133" t="s">
        <v>1700</v>
      </c>
      <c r="C277" s="133" t="s">
        <v>698</v>
      </c>
      <c r="D277" s="133">
        <v>100860</v>
      </c>
      <c r="E277" s="134" t="s">
        <v>432</v>
      </c>
      <c r="F277" s="134" t="s">
        <v>516</v>
      </c>
      <c r="G277" s="133"/>
      <c r="H277" s="133" t="s">
        <v>411</v>
      </c>
      <c r="I277" s="134"/>
      <c r="J277" s="146"/>
      <c r="K277" s="135">
        <f>SUM(K278:K281)</f>
        <v>93.046114000000017</v>
      </c>
    </row>
    <row r="278" spans="1:11">
      <c r="A278" s="136" t="s">
        <v>1208</v>
      </c>
      <c r="B278" s="137" t="s">
        <v>792</v>
      </c>
      <c r="C278" s="137" t="s">
        <v>698</v>
      </c>
      <c r="D278" s="137">
        <v>1368</v>
      </c>
      <c r="E278" s="136" t="s">
        <v>595</v>
      </c>
      <c r="F278" s="1033" t="s">
        <v>1703</v>
      </c>
      <c r="G278" s="1034"/>
      <c r="H278" s="137" t="s">
        <v>411</v>
      </c>
      <c r="I278" s="136">
        <v>1</v>
      </c>
      <c r="J278" s="136">
        <v>75.040000000000006</v>
      </c>
      <c r="K278" s="138">
        <f>J278*I278</f>
        <v>75.040000000000006</v>
      </c>
    </row>
    <row r="279" spans="1:11">
      <c r="A279" s="136" t="s">
        <v>1208</v>
      </c>
      <c r="B279" s="137" t="s">
        <v>792</v>
      </c>
      <c r="C279" s="137" t="s">
        <v>698</v>
      </c>
      <c r="D279" s="137">
        <v>3146</v>
      </c>
      <c r="E279" s="136" t="s">
        <v>1771</v>
      </c>
      <c r="F279" s="1033" t="s">
        <v>1703</v>
      </c>
      <c r="G279" s="1034"/>
      <c r="H279" s="137" t="s">
        <v>411</v>
      </c>
      <c r="I279" s="136">
        <v>2.1000000000000001E-2</v>
      </c>
      <c r="J279" s="136">
        <v>3.2</v>
      </c>
      <c r="K279" s="138">
        <f t="shared" ref="K279:K281" si="20">J279*I279</f>
        <v>6.720000000000001E-2</v>
      </c>
    </row>
    <row r="280" spans="1:11">
      <c r="A280" s="136" t="s">
        <v>1208</v>
      </c>
      <c r="B280" s="137" t="s">
        <v>1705</v>
      </c>
      <c r="C280" s="137" t="s">
        <v>698</v>
      </c>
      <c r="D280" s="137">
        <v>88267</v>
      </c>
      <c r="E280" s="136" t="s">
        <v>506</v>
      </c>
      <c r="F280" s="1033" t="s">
        <v>1706</v>
      </c>
      <c r="G280" s="1034"/>
      <c r="H280" s="137" t="s">
        <v>412</v>
      </c>
      <c r="I280" s="136">
        <v>0.44669999999999999</v>
      </c>
      <c r="J280" s="136">
        <v>32.130000000000003</v>
      </c>
      <c r="K280" s="138">
        <f t="shared" si="20"/>
        <v>14.352471000000001</v>
      </c>
    </row>
    <row r="281" spans="1:11">
      <c r="A281" s="136" t="s">
        <v>1208</v>
      </c>
      <c r="B281" s="137" t="s">
        <v>1705</v>
      </c>
      <c r="C281" s="137" t="s">
        <v>698</v>
      </c>
      <c r="D281" s="137">
        <v>88316</v>
      </c>
      <c r="E281" s="136" t="s">
        <v>414</v>
      </c>
      <c r="F281" s="1033" t="s">
        <v>1706</v>
      </c>
      <c r="G281" s="1034"/>
      <c r="H281" s="137" t="s">
        <v>412</v>
      </c>
      <c r="I281" s="136">
        <v>0.14069999999999999</v>
      </c>
      <c r="J281" s="136">
        <v>25.49</v>
      </c>
      <c r="K281" s="138">
        <f t="shared" si="20"/>
        <v>3.5864429999999996</v>
      </c>
    </row>
    <row r="282" spans="1:11">
      <c r="A282" s="139"/>
      <c r="E282" s="139"/>
      <c r="F282" s="139"/>
      <c r="I282" s="139"/>
      <c r="J282" s="139"/>
      <c r="K282" s="140"/>
    </row>
    <row r="283" spans="1:11">
      <c r="A283" s="128"/>
      <c r="B283" s="129" t="s">
        <v>1691</v>
      </c>
      <c r="C283" s="129" t="s">
        <v>1692</v>
      </c>
      <c r="D283" s="129" t="s">
        <v>1693</v>
      </c>
      <c r="E283" s="130" t="s">
        <v>0</v>
      </c>
      <c r="F283" s="130" t="s">
        <v>1694</v>
      </c>
      <c r="G283" s="129"/>
      <c r="H283" s="129" t="s">
        <v>1695</v>
      </c>
      <c r="I283" s="130" t="s">
        <v>1696</v>
      </c>
      <c r="J283" s="130" t="s">
        <v>1697</v>
      </c>
      <c r="K283" s="131" t="s">
        <v>1698</v>
      </c>
    </row>
    <row r="284" spans="1:11" ht="50.1" customHeight="1">
      <c r="A284" s="132" t="s">
        <v>1772</v>
      </c>
      <c r="B284" s="133" t="s">
        <v>1700</v>
      </c>
      <c r="C284" s="133" t="s">
        <v>698</v>
      </c>
      <c r="D284" s="133">
        <v>89970</v>
      </c>
      <c r="E284" s="134" t="s">
        <v>430</v>
      </c>
      <c r="F284" s="134" t="s">
        <v>516</v>
      </c>
      <c r="G284" s="133"/>
      <c r="H284" s="133" t="s">
        <v>411</v>
      </c>
      <c r="I284" s="134"/>
      <c r="J284" s="135">
        <f>SUM(J285:J287)</f>
        <v>41.69</v>
      </c>
      <c r="K284" s="135">
        <f>SUM(K285:K287)</f>
        <v>41.69</v>
      </c>
    </row>
    <row r="285" spans="1:11" ht="24.75">
      <c r="A285" s="136" t="s">
        <v>1208</v>
      </c>
      <c r="B285" s="137" t="s">
        <v>1705</v>
      </c>
      <c r="C285" s="137" t="s">
        <v>698</v>
      </c>
      <c r="D285" s="137">
        <v>89351</v>
      </c>
      <c r="E285" s="136" t="s">
        <v>600</v>
      </c>
      <c r="F285" s="1033" t="s">
        <v>1768</v>
      </c>
      <c r="G285" s="1034"/>
      <c r="H285" s="137" t="s">
        <v>411</v>
      </c>
      <c r="I285" s="136">
        <v>1</v>
      </c>
      <c r="J285" s="136">
        <v>24.95</v>
      </c>
      <c r="K285" s="138">
        <f>I285*J285</f>
        <v>24.95</v>
      </c>
    </row>
    <row r="286" spans="1:11" ht="24.75">
      <c r="A286" s="136" t="s">
        <v>1208</v>
      </c>
      <c r="B286" s="137" t="s">
        <v>1705</v>
      </c>
      <c r="C286" s="137" t="s">
        <v>698</v>
      </c>
      <c r="D286" s="137">
        <v>89383</v>
      </c>
      <c r="E286" s="136" t="s">
        <v>522</v>
      </c>
      <c r="F286" s="1033" t="s">
        <v>1768</v>
      </c>
      <c r="G286" s="1034"/>
      <c r="H286" s="137" t="s">
        <v>411</v>
      </c>
      <c r="I286" s="136">
        <v>1</v>
      </c>
      <c r="J286" s="136">
        <v>7.84</v>
      </c>
      <c r="K286" s="138">
        <f t="shared" ref="K286:K287" si="21">I286*J286</f>
        <v>7.84</v>
      </c>
    </row>
    <row r="287" spans="1:11" ht="24.75">
      <c r="A287" s="136" t="s">
        <v>1208</v>
      </c>
      <c r="B287" s="137" t="s">
        <v>1705</v>
      </c>
      <c r="C287" s="137" t="s">
        <v>698</v>
      </c>
      <c r="D287" s="137">
        <v>89385</v>
      </c>
      <c r="E287" s="136" t="s">
        <v>538</v>
      </c>
      <c r="F287" s="1033" t="s">
        <v>1768</v>
      </c>
      <c r="G287" s="1034"/>
      <c r="H287" s="137" t="s">
        <v>411</v>
      </c>
      <c r="I287" s="136">
        <v>1</v>
      </c>
      <c r="J287" s="136">
        <v>8.9</v>
      </c>
      <c r="K287" s="138">
        <f t="shared" si="21"/>
        <v>8.9</v>
      </c>
    </row>
    <row r="288" spans="1:11">
      <c r="A288" s="139"/>
      <c r="E288" s="139"/>
      <c r="F288" s="139"/>
      <c r="I288" s="139"/>
      <c r="J288" s="139"/>
      <c r="K288" s="140"/>
    </row>
    <row r="289" spans="1:11">
      <c r="A289" s="128"/>
      <c r="B289" s="129" t="s">
        <v>1691</v>
      </c>
      <c r="C289" s="129" t="s">
        <v>1692</v>
      </c>
      <c r="D289" s="129" t="s">
        <v>1693</v>
      </c>
      <c r="E289" s="130" t="s">
        <v>0</v>
      </c>
      <c r="F289" s="130" t="s">
        <v>1694</v>
      </c>
      <c r="G289" s="129"/>
      <c r="H289" s="129" t="s">
        <v>1695</v>
      </c>
      <c r="I289" s="130" t="s">
        <v>1696</v>
      </c>
      <c r="J289" s="130" t="s">
        <v>1697</v>
      </c>
      <c r="K289" s="131" t="s">
        <v>1698</v>
      </c>
    </row>
    <row r="290" spans="1:11" ht="50.1" customHeight="1">
      <c r="A290" s="132" t="s">
        <v>1773</v>
      </c>
      <c r="B290" s="133" t="s">
        <v>1700</v>
      </c>
      <c r="C290" s="133" t="s">
        <v>698</v>
      </c>
      <c r="D290" s="133">
        <v>100856</v>
      </c>
      <c r="E290" s="134" t="s">
        <v>593</v>
      </c>
      <c r="F290" s="134" t="s">
        <v>516</v>
      </c>
      <c r="G290" s="133"/>
      <c r="H290" s="133" t="s">
        <v>411</v>
      </c>
      <c r="I290" s="134"/>
      <c r="J290" s="146"/>
      <c r="K290" s="135">
        <f>SUM(K291:K293)</f>
        <v>34.026827000000004</v>
      </c>
    </row>
    <row r="291" spans="1:11">
      <c r="A291" s="136" t="s">
        <v>1208</v>
      </c>
      <c r="B291" s="137" t="s">
        <v>792</v>
      </c>
      <c r="C291" s="137" t="s">
        <v>698</v>
      </c>
      <c r="D291" s="137">
        <v>36801</v>
      </c>
      <c r="E291" s="136" t="s">
        <v>1774</v>
      </c>
      <c r="F291" s="1033" t="s">
        <v>1703</v>
      </c>
      <c r="G291" s="1034"/>
      <c r="H291" s="137" t="s">
        <v>411</v>
      </c>
      <c r="I291" s="136">
        <v>1</v>
      </c>
      <c r="J291" s="136">
        <v>30.17</v>
      </c>
      <c r="K291" s="138">
        <f>I291*J291</f>
        <v>30.17</v>
      </c>
    </row>
    <row r="292" spans="1:11">
      <c r="A292" s="136" t="s">
        <v>1208</v>
      </c>
      <c r="B292" s="137" t="s">
        <v>1705</v>
      </c>
      <c r="C292" s="137" t="s">
        <v>698</v>
      </c>
      <c r="D292" s="137">
        <v>88267</v>
      </c>
      <c r="E292" s="136" t="s">
        <v>506</v>
      </c>
      <c r="F292" s="1033" t="s">
        <v>1706</v>
      </c>
      <c r="G292" s="1034"/>
      <c r="H292" s="137" t="s">
        <v>412</v>
      </c>
      <c r="I292" s="136">
        <v>9.6000000000000002E-2</v>
      </c>
      <c r="J292" s="136">
        <v>32.130000000000003</v>
      </c>
      <c r="K292" s="138">
        <f t="shared" ref="K292:K293" si="22">I292*J292</f>
        <v>3.0844800000000001</v>
      </c>
    </row>
    <row r="293" spans="1:11">
      <c r="A293" s="136" t="s">
        <v>1208</v>
      </c>
      <c r="B293" s="137" t="s">
        <v>1705</v>
      </c>
      <c r="C293" s="137" t="s">
        <v>698</v>
      </c>
      <c r="D293" s="137">
        <v>88316</v>
      </c>
      <c r="E293" s="136" t="s">
        <v>414</v>
      </c>
      <c r="F293" s="1033" t="s">
        <v>1706</v>
      </c>
      <c r="G293" s="1034"/>
      <c r="H293" s="137" t="s">
        <v>412</v>
      </c>
      <c r="I293" s="136">
        <v>3.0300000000000001E-2</v>
      </c>
      <c r="J293" s="136">
        <v>25.49</v>
      </c>
      <c r="K293" s="138">
        <f t="shared" si="22"/>
        <v>0.77234700000000001</v>
      </c>
    </row>
    <row r="294" spans="1:11">
      <c r="A294" s="139"/>
      <c r="E294" s="139"/>
      <c r="F294" s="139"/>
      <c r="I294" s="139"/>
      <c r="J294" s="139"/>
      <c r="K294" s="140"/>
    </row>
    <row r="295" spans="1:11">
      <c r="A295" s="128"/>
      <c r="B295" s="129" t="s">
        <v>1691</v>
      </c>
      <c r="C295" s="129" t="s">
        <v>1692</v>
      </c>
      <c r="D295" s="129" t="s">
        <v>1693</v>
      </c>
      <c r="E295" s="130" t="s">
        <v>0</v>
      </c>
      <c r="F295" s="130" t="s">
        <v>1694</v>
      </c>
      <c r="G295" s="129"/>
      <c r="H295" s="129" t="s">
        <v>1695</v>
      </c>
      <c r="I295" s="130" t="s">
        <v>1696</v>
      </c>
      <c r="J295" s="130" t="s">
        <v>1697</v>
      </c>
      <c r="K295" s="131" t="s">
        <v>1698</v>
      </c>
    </row>
    <row r="296" spans="1:11" ht="50.1" customHeight="1">
      <c r="A296" s="132" t="s">
        <v>1775</v>
      </c>
      <c r="B296" s="133" t="s">
        <v>1700</v>
      </c>
      <c r="C296" s="133" t="s">
        <v>698</v>
      </c>
      <c r="D296" s="133">
        <v>86901</v>
      </c>
      <c r="E296" s="134" t="s">
        <v>583</v>
      </c>
      <c r="F296" s="134" t="s">
        <v>516</v>
      </c>
      <c r="G296" s="133"/>
      <c r="H296" s="133" t="s">
        <v>411</v>
      </c>
      <c r="I296" s="134"/>
      <c r="J296" s="146"/>
      <c r="K296" s="135">
        <f>SUM(K297:K300)</f>
        <v>166.10897299999999</v>
      </c>
    </row>
    <row r="297" spans="1:11">
      <c r="A297" s="136" t="s">
        <v>1208</v>
      </c>
      <c r="B297" s="137" t="s">
        <v>792</v>
      </c>
      <c r="C297" s="137" t="s">
        <v>698</v>
      </c>
      <c r="D297" s="137">
        <v>4823</v>
      </c>
      <c r="E297" s="136" t="s">
        <v>581</v>
      </c>
      <c r="F297" s="1033" t="s">
        <v>1703</v>
      </c>
      <c r="G297" s="1034"/>
      <c r="H297" s="137" t="s">
        <v>415</v>
      </c>
      <c r="I297" s="136">
        <v>0.52710000000000001</v>
      </c>
      <c r="J297" s="136">
        <v>47.12</v>
      </c>
      <c r="K297" s="138">
        <f>J297*I297</f>
        <v>24.836952</v>
      </c>
    </row>
    <row r="298" spans="1:11">
      <c r="A298" s="136" t="s">
        <v>1208</v>
      </c>
      <c r="B298" s="137" t="s">
        <v>792</v>
      </c>
      <c r="C298" s="137" t="s">
        <v>698</v>
      </c>
      <c r="D298" s="137">
        <v>20269</v>
      </c>
      <c r="E298" s="136" t="s">
        <v>1776</v>
      </c>
      <c r="F298" s="1033" t="s">
        <v>1703</v>
      </c>
      <c r="G298" s="1034"/>
      <c r="H298" s="137" t="s">
        <v>411</v>
      </c>
      <c r="I298" s="136">
        <v>1</v>
      </c>
      <c r="J298" s="136">
        <v>111.71</v>
      </c>
      <c r="K298" s="138">
        <f t="shared" ref="K298:K300" si="23">J298*I298</f>
        <v>111.71</v>
      </c>
    </row>
    <row r="299" spans="1:11">
      <c r="A299" s="136" t="s">
        <v>1208</v>
      </c>
      <c r="B299" s="137" t="s">
        <v>1705</v>
      </c>
      <c r="C299" s="137" t="s">
        <v>698</v>
      </c>
      <c r="D299" s="137">
        <v>88274</v>
      </c>
      <c r="E299" s="136" t="s">
        <v>582</v>
      </c>
      <c r="F299" s="1033" t="s">
        <v>1706</v>
      </c>
      <c r="G299" s="1034"/>
      <c r="H299" s="137" t="s">
        <v>412</v>
      </c>
      <c r="I299" s="136">
        <v>0.8458</v>
      </c>
      <c r="J299" s="136">
        <v>26.92</v>
      </c>
      <c r="K299" s="138">
        <f t="shared" si="23"/>
        <v>22.768936</v>
      </c>
    </row>
    <row r="300" spans="1:11">
      <c r="A300" s="136" t="s">
        <v>1208</v>
      </c>
      <c r="B300" s="137" t="s">
        <v>1705</v>
      </c>
      <c r="C300" s="137" t="s">
        <v>698</v>
      </c>
      <c r="D300" s="137">
        <v>88316</v>
      </c>
      <c r="E300" s="136" t="s">
        <v>414</v>
      </c>
      <c r="F300" s="1033" t="s">
        <v>1706</v>
      </c>
      <c r="G300" s="1034"/>
      <c r="H300" s="137" t="s">
        <v>412</v>
      </c>
      <c r="I300" s="136">
        <v>0.26650000000000001</v>
      </c>
      <c r="J300" s="136">
        <v>25.49</v>
      </c>
      <c r="K300" s="138">
        <f t="shared" si="23"/>
        <v>6.7930849999999996</v>
      </c>
    </row>
    <row r="301" spans="1:11">
      <c r="A301" s="139"/>
      <c r="E301" s="139"/>
      <c r="F301" s="139"/>
      <c r="I301" s="139"/>
      <c r="J301" s="139"/>
      <c r="K301" s="140"/>
    </row>
    <row r="302" spans="1:11">
      <c r="A302" s="128"/>
      <c r="B302" s="129" t="s">
        <v>1691</v>
      </c>
      <c r="C302" s="129" t="s">
        <v>1692</v>
      </c>
      <c r="D302" s="129" t="s">
        <v>1693</v>
      </c>
      <c r="E302" s="130" t="s">
        <v>0</v>
      </c>
      <c r="F302" s="130" t="s">
        <v>1694</v>
      </c>
      <c r="G302" s="129"/>
      <c r="H302" s="129" t="s">
        <v>1695</v>
      </c>
      <c r="I302" s="130" t="s">
        <v>1696</v>
      </c>
      <c r="J302" s="130" t="s">
        <v>1697</v>
      </c>
      <c r="K302" s="131" t="s">
        <v>1698</v>
      </c>
    </row>
    <row r="303" spans="1:11" ht="50.1" customHeight="1">
      <c r="A303" s="132" t="s">
        <v>1777</v>
      </c>
      <c r="B303" s="133" t="s">
        <v>1700</v>
      </c>
      <c r="C303" s="133" t="s">
        <v>698</v>
      </c>
      <c r="D303" s="133">
        <v>86904</v>
      </c>
      <c r="E303" s="134" t="s">
        <v>584</v>
      </c>
      <c r="F303" s="134" t="s">
        <v>516</v>
      </c>
      <c r="G303" s="133"/>
      <c r="H303" s="133" t="s">
        <v>411</v>
      </c>
      <c r="I303" s="134"/>
      <c r="J303" s="146"/>
      <c r="K303" s="135">
        <f>SUM(K304:K308)</f>
        <v>173.555756</v>
      </c>
    </row>
    <row r="304" spans="1:11" ht="24.75">
      <c r="A304" s="136" t="s">
        <v>1208</v>
      </c>
      <c r="B304" s="137" t="s">
        <v>792</v>
      </c>
      <c r="C304" s="137" t="s">
        <v>698</v>
      </c>
      <c r="D304" s="137">
        <v>4351</v>
      </c>
      <c r="E304" s="136" t="s">
        <v>575</v>
      </c>
      <c r="F304" s="1033" t="s">
        <v>1703</v>
      </c>
      <c r="G304" s="1034"/>
      <c r="H304" s="137" t="s">
        <v>411</v>
      </c>
      <c r="I304" s="136">
        <v>2</v>
      </c>
      <c r="J304" s="136">
        <v>23.11</v>
      </c>
      <c r="K304" s="138">
        <f>I304*J304</f>
        <v>46.22</v>
      </c>
    </row>
    <row r="305" spans="1:11">
      <c r="A305" s="136" t="s">
        <v>1208</v>
      </c>
      <c r="B305" s="137" t="s">
        <v>792</v>
      </c>
      <c r="C305" s="137" t="s">
        <v>698</v>
      </c>
      <c r="D305" s="137">
        <v>10425</v>
      </c>
      <c r="E305" s="136" t="s">
        <v>1778</v>
      </c>
      <c r="F305" s="1033" t="s">
        <v>1703</v>
      </c>
      <c r="G305" s="1034"/>
      <c r="H305" s="137" t="s">
        <v>411</v>
      </c>
      <c r="I305" s="136">
        <v>1</v>
      </c>
      <c r="J305" s="136">
        <v>107.5</v>
      </c>
      <c r="K305" s="138">
        <f t="shared" ref="K305:K308" si="24">I305*J305</f>
        <v>107.5</v>
      </c>
    </row>
    <row r="306" spans="1:11">
      <c r="A306" s="136" t="s">
        <v>1208</v>
      </c>
      <c r="B306" s="137" t="s">
        <v>792</v>
      </c>
      <c r="C306" s="137" t="s">
        <v>698</v>
      </c>
      <c r="D306" s="137">
        <v>37329</v>
      </c>
      <c r="E306" s="136" t="s">
        <v>576</v>
      </c>
      <c r="F306" s="1033" t="s">
        <v>1703</v>
      </c>
      <c r="G306" s="1034"/>
      <c r="H306" s="137" t="s">
        <v>415</v>
      </c>
      <c r="I306" s="136">
        <v>3.04E-2</v>
      </c>
      <c r="J306" s="136">
        <v>85.33</v>
      </c>
      <c r="K306" s="138">
        <f t="shared" si="24"/>
        <v>2.5940319999999999</v>
      </c>
    </row>
    <row r="307" spans="1:11">
      <c r="A307" s="136" t="s">
        <v>1208</v>
      </c>
      <c r="B307" s="137" t="s">
        <v>1705</v>
      </c>
      <c r="C307" s="137" t="s">
        <v>698</v>
      </c>
      <c r="D307" s="137">
        <v>88267</v>
      </c>
      <c r="E307" s="136" t="s">
        <v>506</v>
      </c>
      <c r="F307" s="1033" t="s">
        <v>1706</v>
      </c>
      <c r="G307" s="1034"/>
      <c r="H307" s="137" t="s">
        <v>412</v>
      </c>
      <c r="I307" s="136">
        <v>0.38700000000000001</v>
      </c>
      <c r="J307" s="136">
        <v>32.130000000000003</v>
      </c>
      <c r="K307" s="138">
        <f t="shared" si="24"/>
        <v>12.434310000000002</v>
      </c>
    </row>
    <row r="308" spans="1:11">
      <c r="A308" s="136" t="s">
        <v>1208</v>
      </c>
      <c r="B308" s="137" t="s">
        <v>1705</v>
      </c>
      <c r="C308" s="137" t="s">
        <v>698</v>
      </c>
      <c r="D308" s="137">
        <v>88316</v>
      </c>
      <c r="E308" s="136" t="s">
        <v>414</v>
      </c>
      <c r="F308" s="1033" t="s">
        <v>1706</v>
      </c>
      <c r="G308" s="1034"/>
      <c r="H308" s="137" t="s">
        <v>412</v>
      </c>
      <c r="I308" s="136">
        <v>0.18859999999999999</v>
      </c>
      <c r="J308" s="136">
        <v>25.49</v>
      </c>
      <c r="K308" s="138">
        <f t="shared" si="24"/>
        <v>4.8074139999999996</v>
      </c>
    </row>
    <row r="309" spans="1:11">
      <c r="A309" s="139"/>
      <c r="E309" s="139"/>
      <c r="F309" s="139"/>
      <c r="I309" s="139"/>
      <c r="J309" s="139"/>
      <c r="K309" s="140"/>
    </row>
    <row r="310" spans="1:11">
      <c r="A310" s="128"/>
      <c r="B310" s="129" t="s">
        <v>1691</v>
      </c>
      <c r="C310" s="129" t="s">
        <v>1692</v>
      </c>
      <c r="D310" s="129" t="s">
        <v>1693</v>
      </c>
      <c r="E310" s="130" t="s">
        <v>0</v>
      </c>
      <c r="F310" s="130" t="s">
        <v>1694</v>
      </c>
      <c r="G310" s="129"/>
      <c r="H310" s="129" t="s">
        <v>1695</v>
      </c>
      <c r="I310" s="130" t="s">
        <v>1696</v>
      </c>
      <c r="J310" s="130" t="s">
        <v>1697</v>
      </c>
      <c r="K310" s="131" t="s">
        <v>1698</v>
      </c>
    </row>
    <row r="311" spans="1:11" ht="50.1" customHeight="1">
      <c r="A311" s="132" t="s">
        <v>1779</v>
      </c>
      <c r="B311" s="133" t="s">
        <v>1700</v>
      </c>
      <c r="C311" s="133" t="s">
        <v>698</v>
      </c>
      <c r="D311" s="133">
        <v>86915</v>
      </c>
      <c r="E311" s="134" t="s">
        <v>585</v>
      </c>
      <c r="F311" s="134" t="s">
        <v>516</v>
      </c>
      <c r="G311" s="133"/>
      <c r="H311" s="133" t="s">
        <v>411</v>
      </c>
      <c r="I311" s="134"/>
      <c r="J311" s="146"/>
      <c r="K311" s="135">
        <f>SUM(K312:K315)</f>
        <v>125.11402699999999</v>
      </c>
    </row>
    <row r="312" spans="1:11">
      <c r="A312" s="136" t="s">
        <v>1208</v>
      </c>
      <c r="B312" s="137" t="s">
        <v>792</v>
      </c>
      <c r="C312" s="137" t="s">
        <v>698</v>
      </c>
      <c r="D312" s="137">
        <v>3146</v>
      </c>
      <c r="E312" s="136" t="s">
        <v>1771</v>
      </c>
      <c r="F312" s="1033" t="s">
        <v>1703</v>
      </c>
      <c r="G312" s="1034"/>
      <c r="H312" s="137" t="s">
        <v>411</v>
      </c>
      <c r="I312" s="136">
        <v>2.1000000000000001E-2</v>
      </c>
      <c r="J312" s="136">
        <v>3.2</v>
      </c>
      <c r="K312" s="138">
        <f>I312*J312</f>
        <v>6.720000000000001E-2</v>
      </c>
    </row>
    <row r="313" spans="1:11">
      <c r="A313" s="136" t="s">
        <v>1208</v>
      </c>
      <c r="B313" s="137" t="s">
        <v>792</v>
      </c>
      <c r="C313" s="137" t="s">
        <v>698</v>
      </c>
      <c r="D313" s="137">
        <v>36791</v>
      </c>
      <c r="E313" s="136" t="s">
        <v>1780</v>
      </c>
      <c r="F313" s="1033" t="s">
        <v>1703</v>
      </c>
      <c r="G313" s="1034"/>
      <c r="H313" s="137" t="s">
        <v>411</v>
      </c>
      <c r="I313" s="136">
        <v>1</v>
      </c>
      <c r="J313" s="136">
        <v>121.19</v>
      </c>
      <c r="K313" s="138">
        <f t="shared" ref="K313:K315" si="25">I313*J313</f>
        <v>121.19</v>
      </c>
    </row>
    <row r="314" spans="1:11">
      <c r="A314" s="136" t="s">
        <v>1208</v>
      </c>
      <c r="B314" s="137" t="s">
        <v>1705</v>
      </c>
      <c r="C314" s="137" t="s">
        <v>698</v>
      </c>
      <c r="D314" s="137">
        <v>88267</v>
      </c>
      <c r="E314" s="136" t="s">
        <v>506</v>
      </c>
      <c r="F314" s="1033" t="s">
        <v>1706</v>
      </c>
      <c r="G314" s="1034"/>
      <c r="H314" s="137" t="s">
        <v>412</v>
      </c>
      <c r="I314" s="136">
        <v>9.6000000000000002E-2</v>
      </c>
      <c r="J314" s="136">
        <v>32.130000000000003</v>
      </c>
      <c r="K314" s="138">
        <f t="shared" si="25"/>
        <v>3.0844800000000001</v>
      </c>
    </row>
    <row r="315" spans="1:11">
      <c r="A315" s="136" t="s">
        <v>1208</v>
      </c>
      <c r="B315" s="137" t="s">
        <v>1705</v>
      </c>
      <c r="C315" s="137" t="s">
        <v>698</v>
      </c>
      <c r="D315" s="137">
        <v>88316</v>
      </c>
      <c r="E315" s="136" t="s">
        <v>414</v>
      </c>
      <c r="F315" s="1033" t="s">
        <v>1706</v>
      </c>
      <c r="G315" s="1034"/>
      <c r="H315" s="137" t="s">
        <v>412</v>
      </c>
      <c r="I315" s="136">
        <v>3.0300000000000001E-2</v>
      </c>
      <c r="J315" s="136">
        <v>25.49</v>
      </c>
      <c r="K315" s="138">
        <f t="shared" si="25"/>
        <v>0.77234700000000001</v>
      </c>
    </row>
    <row r="316" spans="1:11">
      <c r="A316" s="139"/>
      <c r="E316" s="139"/>
      <c r="F316" s="139"/>
      <c r="I316" s="139"/>
      <c r="J316" s="139"/>
      <c r="K316" s="140"/>
    </row>
    <row r="317" spans="1:11">
      <c r="A317" s="128"/>
      <c r="B317" s="129" t="s">
        <v>1691</v>
      </c>
      <c r="C317" s="129" t="s">
        <v>1692</v>
      </c>
      <c r="D317" s="129" t="s">
        <v>1693</v>
      </c>
      <c r="E317" s="130" t="s">
        <v>0</v>
      </c>
      <c r="F317" s="130" t="s">
        <v>1694</v>
      </c>
      <c r="G317" s="129"/>
      <c r="H317" s="129" t="s">
        <v>1695</v>
      </c>
      <c r="I317" s="130" t="s">
        <v>1696</v>
      </c>
      <c r="J317" s="130" t="s">
        <v>1697</v>
      </c>
      <c r="K317" s="131" t="s">
        <v>1698</v>
      </c>
    </row>
    <row r="318" spans="1:11" ht="50.1" customHeight="1">
      <c r="A318" s="132" t="s">
        <v>1781</v>
      </c>
      <c r="B318" s="133" t="s">
        <v>1700</v>
      </c>
      <c r="C318" s="133" t="s">
        <v>698</v>
      </c>
      <c r="D318" s="133">
        <v>86915</v>
      </c>
      <c r="E318" s="134" t="s">
        <v>585</v>
      </c>
      <c r="F318" s="134" t="s">
        <v>516</v>
      </c>
      <c r="G318" s="133"/>
      <c r="H318" s="133" t="s">
        <v>411</v>
      </c>
      <c r="I318" s="134"/>
      <c r="J318" s="134"/>
      <c r="K318" s="135">
        <f>SUM(K319:K322)</f>
        <v>125.11402699999999</v>
      </c>
    </row>
    <row r="319" spans="1:11">
      <c r="A319" s="136" t="s">
        <v>1208</v>
      </c>
      <c r="B319" s="137" t="s">
        <v>792</v>
      </c>
      <c r="C319" s="137" t="s">
        <v>698</v>
      </c>
      <c r="D319" s="137">
        <v>3146</v>
      </c>
      <c r="E319" s="136" t="s">
        <v>1771</v>
      </c>
      <c r="F319" s="1033" t="s">
        <v>1703</v>
      </c>
      <c r="G319" s="1034"/>
      <c r="H319" s="137" t="s">
        <v>411</v>
      </c>
      <c r="I319" s="136">
        <v>2.1000000000000001E-2</v>
      </c>
      <c r="J319" s="142">
        <v>3.2</v>
      </c>
      <c r="K319" s="138">
        <f>I319*J319</f>
        <v>6.720000000000001E-2</v>
      </c>
    </row>
    <row r="320" spans="1:11">
      <c r="A320" s="136" t="s">
        <v>1208</v>
      </c>
      <c r="B320" s="137" t="s">
        <v>792</v>
      </c>
      <c r="C320" s="137" t="s">
        <v>698</v>
      </c>
      <c r="D320" s="137">
        <v>36791</v>
      </c>
      <c r="E320" s="136" t="s">
        <v>1780</v>
      </c>
      <c r="F320" s="1033" t="s">
        <v>1703</v>
      </c>
      <c r="G320" s="1034"/>
      <c r="H320" s="137" t="s">
        <v>411</v>
      </c>
      <c r="I320" s="136">
        <v>1</v>
      </c>
      <c r="J320" s="142">
        <v>121.19</v>
      </c>
      <c r="K320" s="138">
        <f t="shared" ref="K320:K322" si="26">I320*J320</f>
        <v>121.19</v>
      </c>
    </row>
    <row r="321" spans="1:11">
      <c r="A321" s="136" t="s">
        <v>1208</v>
      </c>
      <c r="B321" s="137" t="s">
        <v>1705</v>
      </c>
      <c r="C321" s="137" t="s">
        <v>698</v>
      </c>
      <c r="D321" s="137">
        <v>88267</v>
      </c>
      <c r="E321" s="136" t="s">
        <v>506</v>
      </c>
      <c r="F321" s="1033" t="s">
        <v>1706</v>
      </c>
      <c r="G321" s="1034"/>
      <c r="H321" s="137" t="s">
        <v>412</v>
      </c>
      <c r="I321" s="136">
        <v>9.6000000000000002E-2</v>
      </c>
      <c r="J321" s="142">
        <v>32.130000000000003</v>
      </c>
      <c r="K321" s="138">
        <f t="shared" si="26"/>
        <v>3.0844800000000001</v>
      </c>
    </row>
    <row r="322" spans="1:11">
      <c r="A322" s="136" t="s">
        <v>1208</v>
      </c>
      <c r="B322" s="137" t="s">
        <v>1705</v>
      </c>
      <c r="C322" s="137" t="s">
        <v>698</v>
      </c>
      <c r="D322" s="137">
        <v>88316</v>
      </c>
      <c r="E322" s="136" t="s">
        <v>414</v>
      </c>
      <c r="F322" s="1033" t="s">
        <v>1706</v>
      </c>
      <c r="G322" s="1034"/>
      <c r="H322" s="137" t="s">
        <v>412</v>
      </c>
      <c r="I322" s="136">
        <v>3.0300000000000001E-2</v>
      </c>
      <c r="J322" s="142">
        <v>25.49</v>
      </c>
      <c r="K322" s="138">
        <f t="shared" si="26"/>
        <v>0.77234700000000001</v>
      </c>
    </row>
    <row r="323" spans="1:11">
      <c r="A323" s="139"/>
      <c r="E323" s="139"/>
      <c r="F323" s="139"/>
      <c r="I323" s="139"/>
      <c r="J323" s="139"/>
      <c r="K323" s="140"/>
    </row>
    <row r="324" spans="1:11">
      <c r="A324" s="128"/>
      <c r="B324" s="129" t="s">
        <v>1691</v>
      </c>
      <c r="C324" s="129" t="s">
        <v>1692</v>
      </c>
      <c r="D324" s="129" t="s">
        <v>1693</v>
      </c>
      <c r="E324" s="130" t="s">
        <v>0</v>
      </c>
      <c r="F324" s="130" t="s">
        <v>1694</v>
      </c>
      <c r="G324" s="129"/>
      <c r="H324" s="129" t="s">
        <v>1695</v>
      </c>
      <c r="I324" s="130" t="s">
        <v>1696</v>
      </c>
      <c r="J324" s="130" t="s">
        <v>1697</v>
      </c>
      <c r="K324" s="131" t="s">
        <v>1698</v>
      </c>
    </row>
    <row r="325" spans="1:11" ht="50.1" customHeight="1">
      <c r="A325" s="132" t="s">
        <v>1782</v>
      </c>
      <c r="B325" s="133" t="s">
        <v>1700</v>
      </c>
      <c r="C325" s="133" t="s">
        <v>698</v>
      </c>
      <c r="D325" s="133">
        <v>86881</v>
      </c>
      <c r="E325" s="134" t="s">
        <v>578</v>
      </c>
      <c r="F325" s="134" t="s">
        <v>516</v>
      </c>
      <c r="G325" s="133"/>
      <c r="H325" s="133" t="s">
        <v>411</v>
      </c>
      <c r="I325" s="134"/>
      <c r="J325" s="134"/>
      <c r="K325" s="135">
        <f>SUM(K326:K329)</f>
        <v>170.48782000000003</v>
      </c>
    </row>
    <row r="326" spans="1:11">
      <c r="A326" s="136" t="s">
        <v>1208</v>
      </c>
      <c r="B326" s="137" t="s">
        <v>792</v>
      </c>
      <c r="C326" s="137" t="s">
        <v>698</v>
      </c>
      <c r="D326" s="137">
        <v>3146</v>
      </c>
      <c r="E326" s="136" t="s">
        <v>1771</v>
      </c>
      <c r="F326" s="1033" t="s">
        <v>1703</v>
      </c>
      <c r="G326" s="1034"/>
      <c r="H326" s="137" t="s">
        <v>411</v>
      </c>
      <c r="I326" s="136">
        <v>3.32E-2</v>
      </c>
      <c r="J326" s="136">
        <v>3.2</v>
      </c>
      <c r="K326" s="138">
        <f>I326*J326</f>
        <v>0.10624</v>
      </c>
    </row>
    <row r="327" spans="1:11">
      <c r="A327" s="136" t="s">
        <v>1208</v>
      </c>
      <c r="B327" s="137" t="s">
        <v>792</v>
      </c>
      <c r="C327" s="137" t="s">
        <v>698</v>
      </c>
      <c r="D327" s="137">
        <v>6136</v>
      </c>
      <c r="E327" s="136" t="s">
        <v>1783</v>
      </c>
      <c r="F327" s="1033" t="s">
        <v>1703</v>
      </c>
      <c r="G327" s="1034"/>
      <c r="H327" s="137" t="s">
        <v>411</v>
      </c>
      <c r="I327" s="136">
        <v>1</v>
      </c>
      <c r="J327" s="136">
        <v>159.4</v>
      </c>
      <c r="K327" s="138">
        <f t="shared" ref="K327:K329" si="27">I327*J327</f>
        <v>159.4</v>
      </c>
    </row>
    <row r="328" spans="1:11">
      <c r="A328" s="136" t="s">
        <v>1208</v>
      </c>
      <c r="B328" s="137" t="s">
        <v>1705</v>
      </c>
      <c r="C328" s="137" t="s">
        <v>698</v>
      </c>
      <c r="D328" s="137">
        <v>88267</v>
      </c>
      <c r="E328" s="136" t="s">
        <v>506</v>
      </c>
      <c r="F328" s="1033" t="s">
        <v>1706</v>
      </c>
      <c r="G328" s="1034"/>
      <c r="H328" s="137" t="s">
        <v>412</v>
      </c>
      <c r="I328" s="136">
        <v>0.27339999999999998</v>
      </c>
      <c r="J328" s="136">
        <v>32.130000000000003</v>
      </c>
      <c r="K328" s="138">
        <f t="shared" si="27"/>
        <v>8.7843420000000005</v>
      </c>
    </row>
    <row r="329" spans="1:11">
      <c r="A329" s="136" t="s">
        <v>1208</v>
      </c>
      <c r="B329" s="137" t="s">
        <v>1705</v>
      </c>
      <c r="C329" s="137" t="s">
        <v>698</v>
      </c>
      <c r="D329" s="137">
        <v>88316</v>
      </c>
      <c r="E329" s="136" t="s">
        <v>414</v>
      </c>
      <c r="F329" s="1033" t="s">
        <v>1706</v>
      </c>
      <c r="G329" s="1034"/>
      <c r="H329" s="137" t="s">
        <v>412</v>
      </c>
      <c r="I329" s="136">
        <v>8.6199999999999999E-2</v>
      </c>
      <c r="J329" s="136">
        <v>25.49</v>
      </c>
      <c r="K329" s="138">
        <f t="shared" si="27"/>
        <v>2.197238</v>
      </c>
    </row>
    <row r="330" spans="1:11">
      <c r="A330" s="139"/>
      <c r="E330" s="139"/>
      <c r="F330" s="139"/>
      <c r="I330" s="139"/>
      <c r="J330" s="139"/>
      <c r="K330" s="140"/>
    </row>
    <row r="331" spans="1:11">
      <c r="A331" s="128"/>
      <c r="B331" s="129" t="s">
        <v>1691</v>
      </c>
      <c r="C331" s="129" t="s">
        <v>1692</v>
      </c>
      <c r="D331" s="129" t="s">
        <v>1693</v>
      </c>
      <c r="E331" s="130" t="s">
        <v>0</v>
      </c>
      <c r="F331" s="130" t="s">
        <v>1694</v>
      </c>
      <c r="G331" s="129"/>
      <c r="H331" s="129" t="s">
        <v>1695</v>
      </c>
      <c r="I331" s="130" t="s">
        <v>1696</v>
      </c>
      <c r="J331" s="130" t="s">
        <v>1697</v>
      </c>
      <c r="K331" s="131" t="s">
        <v>1698</v>
      </c>
    </row>
    <row r="332" spans="1:11" ht="31.5">
      <c r="A332" s="132" t="s">
        <v>1784</v>
      </c>
      <c r="B332" s="133" t="s">
        <v>1700</v>
      </c>
      <c r="C332" s="133" t="s">
        <v>698</v>
      </c>
      <c r="D332" s="133">
        <v>86877</v>
      </c>
      <c r="E332" s="134" t="s">
        <v>577</v>
      </c>
      <c r="F332" s="134" t="s">
        <v>516</v>
      </c>
      <c r="G332" s="133"/>
      <c r="H332" s="133" t="s">
        <v>411</v>
      </c>
      <c r="I332" s="134"/>
      <c r="J332" s="146"/>
      <c r="K332" s="135">
        <f>SUM(K333:K336)</f>
        <v>57.281072000000002</v>
      </c>
    </row>
    <row r="333" spans="1:11">
      <c r="A333" s="136" t="s">
        <v>1208</v>
      </c>
      <c r="B333" s="137" t="s">
        <v>792</v>
      </c>
      <c r="C333" s="137" t="s">
        <v>698</v>
      </c>
      <c r="D333" s="137">
        <v>3146</v>
      </c>
      <c r="E333" s="136" t="s">
        <v>1771</v>
      </c>
      <c r="F333" s="1033" t="s">
        <v>1703</v>
      </c>
      <c r="G333" s="1034"/>
      <c r="H333" s="137" t="s">
        <v>411</v>
      </c>
      <c r="I333" s="136">
        <v>4.8000000000000001E-2</v>
      </c>
      <c r="J333" s="136">
        <v>3.2</v>
      </c>
      <c r="K333" s="138">
        <f>I333*J333</f>
        <v>0.15360000000000001</v>
      </c>
    </row>
    <row r="334" spans="1:11">
      <c r="A334" s="136" t="s">
        <v>1208</v>
      </c>
      <c r="B334" s="137" t="s">
        <v>792</v>
      </c>
      <c r="C334" s="137" t="s">
        <v>698</v>
      </c>
      <c r="D334" s="137">
        <v>37588</v>
      </c>
      <c r="E334" s="136" t="s">
        <v>1785</v>
      </c>
      <c r="F334" s="1033" t="s">
        <v>1703</v>
      </c>
      <c r="G334" s="1034"/>
      <c r="H334" s="137" t="s">
        <v>411</v>
      </c>
      <c r="I334" s="136">
        <v>1</v>
      </c>
      <c r="J334" s="136">
        <v>50.14</v>
      </c>
      <c r="K334" s="138">
        <f t="shared" ref="K334:K336" si="28">I334*J334</f>
        <v>50.14</v>
      </c>
    </row>
    <row r="335" spans="1:11">
      <c r="A335" s="136" t="s">
        <v>1208</v>
      </c>
      <c r="B335" s="137" t="s">
        <v>1705</v>
      </c>
      <c r="C335" s="137" t="s">
        <v>698</v>
      </c>
      <c r="D335" s="137">
        <v>88267</v>
      </c>
      <c r="E335" s="136" t="s">
        <v>506</v>
      </c>
      <c r="F335" s="1033" t="s">
        <v>1706</v>
      </c>
      <c r="G335" s="1034"/>
      <c r="H335" s="137" t="s">
        <v>412</v>
      </c>
      <c r="I335" s="136">
        <v>0.17399999999999999</v>
      </c>
      <c r="J335" s="136">
        <v>32.130000000000003</v>
      </c>
      <c r="K335" s="138">
        <f t="shared" si="28"/>
        <v>5.5906200000000004</v>
      </c>
    </row>
    <row r="336" spans="1:11">
      <c r="A336" s="136" t="s">
        <v>1208</v>
      </c>
      <c r="B336" s="137" t="s">
        <v>1705</v>
      </c>
      <c r="C336" s="137" t="s">
        <v>698</v>
      </c>
      <c r="D336" s="137">
        <v>88316</v>
      </c>
      <c r="E336" s="136" t="s">
        <v>414</v>
      </c>
      <c r="F336" s="1033" t="s">
        <v>1706</v>
      </c>
      <c r="G336" s="1034"/>
      <c r="H336" s="137" t="s">
        <v>412</v>
      </c>
      <c r="I336" s="136">
        <v>5.4800000000000001E-2</v>
      </c>
      <c r="J336" s="136">
        <v>25.49</v>
      </c>
      <c r="K336" s="138">
        <f t="shared" si="28"/>
        <v>1.396852</v>
      </c>
    </row>
    <row r="337" spans="1:11">
      <c r="A337" s="139"/>
      <c r="E337" s="139"/>
      <c r="F337" s="139"/>
      <c r="I337" s="139"/>
      <c r="J337" s="139"/>
      <c r="K337" s="140"/>
    </row>
    <row r="338" spans="1:11">
      <c r="A338" s="128"/>
      <c r="B338" s="129" t="s">
        <v>1691</v>
      </c>
      <c r="C338" s="129" t="s">
        <v>1692</v>
      </c>
      <c r="D338" s="129" t="s">
        <v>1693</v>
      </c>
      <c r="E338" s="130" t="s">
        <v>0</v>
      </c>
      <c r="F338" s="130" t="s">
        <v>1694</v>
      </c>
      <c r="G338" s="129"/>
      <c r="H338" s="129" t="s">
        <v>1695</v>
      </c>
      <c r="I338" s="130" t="s">
        <v>1696</v>
      </c>
      <c r="J338" s="130" t="s">
        <v>1697</v>
      </c>
      <c r="K338" s="131" t="s">
        <v>1698</v>
      </c>
    </row>
    <row r="339" spans="1:11" s="264" customFormat="1" ht="31.5">
      <c r="A339" s="860" t="s">
        <v>1786</v>
      </c>
      <c r="B339" s="267" t="s">
        <v>1700</v>
      </c>
      <c r="C339" s="267" t="s">
        <v>698</v>
      </c>
      <c r="D339" s="267">
        <v>86878</v>
      </c>
      <c r="E339" s="268" t="s">
        <v>1787</v>
      </c>
      <c r="F339" s="268" t="s">
        <v>516</v>
      </c>
      <c r="G339" s="267"/>
      <c r="H339" s="267" t="s">
        <v>411</v>
      </c>
      <c r="I339" s="268"/>
      <c r="J339" s="269"/>
      <c r="K339" s="270">
        <f>SUM(K340:K343)</f>
        <v>61.571072000000001</v>
      </c>
    </row>
    <row r="340" spans="1:11">
      <c r="A340" s="136" t="s">
        <v>1208</v>
      </c>
      <c r="B340" s="137" t="s">
        <v>792</v>
      </c>
      <c r="C340" s="137" t="s">
        <v>698</v>
      </c>
      <c r="D340" s="137">
        <v>3146</v>
      </c>
      <c r="E340" s="136" t="s">
        <v>1771</v>
      </c>
      <c r="F340" s="1033" t="s">
        <v>1703</v>
      </c>
      <c r="G340" s="1034"/>
      <c r="H340" s="137" t="s">
        <v>411</v>
      </c>
      <c r="I340" s="136">
        <v>4.8000000000000001E-2</v>
      </c>
      <c r="J340" s="136">
        <v>3.2</v>
      </c>
      <c r="K340" s="138">
        <f>I340*J340</f>
        <v>0.15360000000000001</v>
      </c>
    </row>
    <row r="341" spans="1:11">
      <c r="A341" s="136" t="s">
        <v>1208</v>
      </c>
      <c r="B341" s="137" t="s">
        <v>792</v>
      </c>
      <c r="C341" s="137" t="s">
        <v>698</v>
      </c>
      <c r="D341" s="137">
        <v>6157</v>
      </c>
      <c r="E341" s="136" t="s">
        <v>1788</v>
      </c>
      <c r="F341" s="1033" t="s">
        <v>1703</v>
      </c>
      <c r="G341" s="1034"/>
      <c r="H341" s="137" t="s">
        <v>411</v>
      </c>
      <c r="I341" s="136">
        <v>1</v>
      </c>
      <c r="J341" s="136">
        <v>54.43</v>
      </c>
      <c r="K341" s="138">
        <f t="shared" ref="K341:K343" si="29">I341*J341</f>
        <v>54.43</v>
      </c>
    </row>
    <row r="342" spans="1:11">
      <c r="A342" s="136" t="s">
        <v>1208</v>
      </c>
      <c r="B342" s="137" t="s">
        <v>1705</v>
      </c>
      <c r="C342" s="137" t="s">
        <v>698</v>
      </c>
      <c r="D342" s="137">
        <v>88267</v>
      </c>
      <c r="E342" s="136" t="s">
        <v>506</v>
      </c>
      <c r="F342" s="1033" t="s">
        <v>1706</v>
      </c>
      <c r="G342" s="1034"/>
      <c r="H342" s="137" t="s">
        <v>412</v>
      </c>
      <c r="I342" s="136">
        <v>0.17399999999999999</v>
      </c>
      <c r="J342" s="136">
        <v>32.130000000000003</v>
      </c>
      <c r="K342" s="138">
        <f t="shared" si="29"/>
        <v>5.5906200000000004</v>
      </c>
    </row>
    <row r="343" spans="1:11">
      <c r="A343" s="136" t="s">
        <v>1208</v>
      </c>
      <c r="B343" s="137" t="s">
        <v>1705</v>
      </c>
      <c r="C343" s="137" t="s">
        <v>698</v>
      </c>
      <c r="D343" s="137">
        <v>88316</v>
      </c>
      <c r="E343" s="136" t="s">
        <v>414</v>
      </c>
      <c r="F343" s="1033" t="s">
        <v>1706</v>
      </c>
      <c r="G343" s="1034"/>
      <c r="H343" s="137" t="s">
        <v>412</v>
      </c>
      <c r="I343" s="136">
        <v>5.4800000000000001E-2</v>
      </c>
      <c r="J343" s="136">
        <v>25.49</v>
      </c>
      <c r="K343" s="138">
        <f t="shared" si="29"/>
        <v>1.396852</v>
      </c>
    </row>
    <row r="344" spans="1:11">
      <c r="A344" s="139"/>
      <c r="E344" s="139"/>
      <c r="F344" s="139"/>
      <c r="I344" s="139"/>
      <c r="J344" s="139"/>
      <c r="K344" s="140"/>
    </row>
    <row r="345" spans="1:11">
      <c r="A345" s="128"/>
      <c r="B345" s="129" t="s">
        <v>1691</v>
      </c>
      <c r="C345" s="129" t="s">
        <v>1692</v>
      </c>
      <c r="D345" s="129" t="s">
        <v>1693</v>
      </c>
      <c r="E345" s="130" t="s">
        <v>0</v>
      </c>
      <c r="F345" s="130" t="s">
        <v>1694</v>
      </c>
      <c r="G345" s="129"/>
      <c r="H345" s="129" t="s">
        <v>1695</v>
      </c>
      <c r="I345" s="130" t="s">
        <v>1696</v>
      </c>
      <c r="J345" s="130" t="s">
        <v>1697</v>
      </c>
      <c r="K345" s="131" t="s">
        <v>1698</v>
      </c>
    </row>
    <row r="346" spans="1:11" ht="31.5">
      <c r="A346" s="132" t="s">
        <v>1789</v>
      </c>
      <c r="B346" s="133" t="s">
        <v>1700</v>
      </c>
      <c r="C346" s="133" t="s">
        <v>698</v>
      </c>
      <c r="D346" s="133">
        <v>86886</v>
      </c>
      <c r="E346" s="134" t="s">
        <v>579</v>
      </c>
      <c r="F346" s="134" t="s">
        <v>516</v>
      </c>
      <c r="G346" s="133"/>
      <c r="H346" s="133" t="s">
        <v>411</v>
      </c>
      <c r="I346" s="134"/>
      <c r="J346" s="146"/>
      <c r="K346" s="135">
        <f>SUM(K347:K350)</f>
        <v>42.743093999999999</v>
      </c>
    </row>
    <row r="347" spans="1:11">
      <c r="A347" s="136" t="s">
        <v>1208</v>
      </c>
      <c r="B347" s="137" t="s">
        <v>792</v>
      </c>
      <c r="C347" s="137" t="s">
        <v>698</v>
      </c>
      <c r="D347" s="137">
        <v>3146</v>
      </c>
      <c r="E347" s="136" t="s">
        <v>1771</v>
      </c>
      <c r="F347" s="1033" t="s">
        <v>1703</v>
      </c>
      <c r="G347" s="1034"/>
      <c r="H347" s="137" t="s">
        <v>411</v>
      </c>
      <c r="I347" s="136">
        <v>2.1000000000000001E-2</v>
      </c>
      <c r="J347" s="136">
        <v>3.2</v>
      </c>
      <c r="K347" s="138">
        <f>I347*J347</f>
        <v>6.720000000000001E-2</v>
      </c>
    </row>
    <row r="348" spans="1:11">
      <c r="A348" s="136" t="s">
        <v>1208</v>
      </c>
      <c r="B348" s="137" t="s">
        <v>792</v>
      </c>
      <c r="C348" s="137" t="s">
        <v>698</v>
      </c>
      <c r="D348" s="137">
        <v>11683</v>
      </c>
      <c r="E348" s="136" t="s">
        <v>1790</v>
      </c>
      <c r="F348" s="1033" t="s">
        <v>1703</v>
      </c>
      <c r="G348" s="1034"/>
      <c r="H348" s="137" t="s">
        <v>411</v>
      </c>
      <c r="I348" s="136">
        <v>1</v>
      </c>
      <c r="J348" s="144">
        <v>36.549999999999997</v>
      </c>
      <c r="K348" s="138">
        <f t="shared" ref="K348:K350" si="30">I348*J348</f>
        <v>36.549999999999997</v>
      </c>
    </row>
    <row r="349" spans="1:11">
      <c r="A349" s="136" t="s">
        <v>1208</v>
      </c>
      <c r="B349" s="137" t="s">
        <v>1705</v>
      </c>
      <c r="C349" s="137" t="s">
        <v>698</v>
      </c>
      <c r="D349" s="137">
        <v>88267</v>
      </c>
      <c r="E349" s="136" t="s">
        <v>506</v>
      </c>
      <c r="F349" s="1033" t="s">
        <v>1706</v>
      </c>
      <c r="G349" s="1034"/>
      <c r="H349" s="137" t="s">
        <v>412</v>
      </c>
      <c r="I349" s="136">
        <v>0.1525</v>
      </c>
      <c r="J349" s="136">
        <v>32.130000000000003</v>
      </c>
      <c r="K349" s="138">
        <f t="shared" si="30"/>
        <v>4.8998249999999999</v>
      </c>
    </row>
    <row r="350" spans="1:11">
      <c r="A350" s="136" t="s">
        <v>1208</v>
      </c>
      <c r="B350" s="137" t="s">
        <v>1705</v>
      </c>
      <c r="C350" s="137" t="s">
        <v>698</v>
      </c>
      <c r="D350" s="137">
        <v>88316</v>
      </c>
      <c r="E350" s="136" t="s">
        <v>414</v>
      </c>
      <c r="F350" s="1033" t="s">
        <v>1706</v>
      </c>
      <c r="G350" s="1034"/>
      <c r="H350" s="137" t="s">
        <v>412</v>
      </c>
      <c r="I350" s="136">
        <v>4.8099999999999997E-2</v>
      </c>
      <c r="J350" s="136">
        <v>25.49</v>
      </c>
      <c r="K350" s="138">
        <f t="shared" si="30"/>
        <v>1.2260689999999999</v>
      </c>
    </row>
    <row r="351" spans="1:11">
      <c r="A351" s="139"/>
      <c r="E351" s="139"/>
      <c r="F351" s="139"/>
      <c r="I351" s="139"/>
      <c r="J351" s="139"/>
      <c r="K351" s="140"/>
    </row>
    <row r="352" spans="1:11">
      <c r="A352" s="128"/>
      <c r="B352" s="129" t="s">
        <v>1691</v>
      </c>
      <c r="C352" s="129" t="s">
        <v>1692</v>
      </c>
      <c r="D352" s="129" t="s">
        <v>1693</v>
      </c>
      <c r="E352" s="130" t="s">
        <v>0</v>
      </c>
      <c r="F352" s="130" t="s">
        <v>1694</v>
      </c>
      <c r="G352" s="129"/>
      <c r="H352" s="129" t="s">
        <v>1695</v>
      </c>
      <c r="I352" s="130" t="s">
        <v>1696</v>
      </c>
      <c r="J352" s="130" t="s">
        <v>1697</v>
      </c>
      <c r="K352" s="131" t="s">
        <v>1698</v>
      </c>
    </row>
    <row r="353" spans="1:11" ht="31.5">
      <c r="A353" s="132" t="s">
        <v>1791</v>
      </c>
      <c r="B353" s="133" t="s">
        <v>1700</v>
      </c>
      <c r="C353" s="133" t="s">
        <v>698</v>
      </c>
      <c r="D353" s="133">
        <v>95547</v>
      </c>
      <c r="E353" s="134" t="s">
        <v>591</v>
      </c>
      <c r="F353" s="134" t="s">
        <v>516</v>
      </c>
      <c r="G353" s="133"/>
      <c r="H353" s="133" t="s">
        <v>411</v>
      </c>
      <c r="I353" s="134"/>
      <c r="J353" s="146"/>
      <c r="K353" s="135">
        <f>SUM(K354:K356)</f>
        <v>52.598309999999998</v>
      </c>
    </row>
    <row r="354" spans="1:11">
      <c r="A354" s="136" t="s">
        <v>1208</v>
      </c>
      <c r="B354" s="137" t="s">
        <v>792</v>
      </c>
      <c r="C354" s="137" t="s">
        <v>698</v>
      </c>
      <c r="D354" s="137">
        <v>11758</v>
      </c>
      <c r="E354" s="136" t="s">
        <v>592</v>
      </c>
      <c r="F354" s="1033" t="s">
        <v>1703</v>
      </c>
      <c r="G354" s="1034"/>
      <c r="H354" s="137" t="s">
        <v>411</v>
      </c>
      <c r="I354" s="136">
        <v>1</v>
      </c>
      <c r="J354" s="144">
        <v>39.9</v>
      </c>
      <c r="K354" s="138">
        <f>I354*J354</f>
        <v>39.9</v>
      </c>
    </row>
    <row r="355" spans="1:11">
      <c r="A355" s="136" t="s">
        <v>1208</v>
      </c>
      <c r="B355" s="137" t="s">
        <v>1705</v>
      </c>
      <c r="C355" s="137" t="s">
        <v>698</v>
      </c>
      <c r="D355" s="137">
        <v>88267</v>
      </c>
      <c r="E355" s="136" t="s">
        <v>506</v>
      </c>
      <c r="F355" s="1033" t="s">
        <v>1706</v>
      </c>
      <c r="G355" s="1034"/>
      <c r="H355" s="137" t="s">
        <v>412</v>
      </c>
      <c r="I355" s="136">
        <v>0.31619999999999998</v>
      </c>
      <c r="J355" s="144">
        <v>32.130000000000003</v>
      </c>
      <c r="K355" s="138">
        <f t="shared" ref="K355:K356" si="31">I355*J355</f>
        <v>10.159506</v>
      </c>
    </row>
    <row r="356" spans="1:11">
      <c r="A356" s="136" t="s">
        <v>1208</v>
      </c>
      <c r="B356" s="137" t="s">
        <v>1705</v>
      </c>
      <c r="C356" s="137" t="s">
        <v>698</v>
      </c>
      <c r="D356" s="137">
        <v>88316</v>
      </c>
      <c r="E356" s="136" t="s">
        <v>414</v>
      </c>
      <c r="F356" s="1033" t="s">
        <v>1706</v>
      </c>
      <c r="G356" s="1034"/>
      <c r="H356" s="137" t="s">
        <v>412</v>
      </c>
      <c r="I356" s="136">
        <v>9.9599999999999994E-2</v>
      </c>
      <c r="J356" s="144">
        <v>25.49</v>
      </c>
      <c r="K356" s="138">
        <f t="shared" si="31"/>
        <v>2.5388039999999998</v>
      </c>
    </row>
    <row r="357" spans="1:11">
      <c r="A357" s="139"/>
      <c r="E357" s="139"/>
      <c r="F357" s="139"/>
      <c r="I357" s="139"/>
      <c r="J357" s="139"/>
      <c r="K357" s="140"/>
    </row>
    <row r="358" spans="1:11">
      <c r="A358" s="128"/>
      <c r="B358" s="129" t="s">
        <v>1691</v>
      </c>
      <c r="C358" s="129" t="s">
        <v>1692</v>
      </c>
      <c r="D358" s="129" t="s">
        <v>1693</v>
      </c>
      <c r="E358" s="130" t="s">
        <v>0</v>
      </c>
      <c r="F358" s="130" t="s">
        <v>1694</v>
      </c>
      <c r="G358" s="129"/>
      <c r="H358" s="129" t="s">
        <v>1695</v>
      </c>
      <c r="I358" s="130" t="s">
        <v>1696</v>
      </c>
      <c r="J358" s="130" t="s">
        <v>1697</v>
      </c>
      <c r="K358" s="131" t="s">
        <v>1698</v>
      </c>
    </row>
    <row r="359" spans="1:11" ht="31.5">
      <c r="A359" s="132" t="s">
        <v>1792</v>
      </c>
      <c r="B359" s="133" t="s">
        <v>1700</v>
      </c>
      <c r="C359" s="133" t="s">
        <v>698</v>
      </c>
      <c r="D359" s="133">
        <v>100858</v>
      </c>
      <c r="E359" s="134" t="s">
        <v>594</v>
      </c>
      <c r="F359" s="134" t="s">
        <v>516</v>
      </c>
      <c r="G359" s="133"/>
      <c r="H359" s="133" t="s">
        <v>411</v>
      </c>
      <c r="I359" s="134"/>
      <c r="J359" s="146"/>
      <c r="K359" s="135">
        <f>SUM(K360:K366)</f>
        <v>723.25924099999997</v>
      </c>
    </row>
    <row r="360" spans="1:11">
      <c r="A360" s="136" t="s">
        <v>1208</v>
      </c>
      <c r="B360" s="137" t="s">
        <v>792</v>
      </c>
      <c r="C360" s="137" t="s">
        <v>698</v>
      </c>
      <c r="D360" s="137">
        <v>3146</v>
      </c>
      <c r="E360" s="136" t="s">
        <v>1771</v>
      </c>
      <c r="F360" s="1033" t="s">
        <v>1703</v>
      </c>
      <c r="G360" s="1034"/>
      <c r="H360" s="137" t="s">
        <v>411</v>
      </c>
      <c r="I360" s="136">
        <v>3.6499999999999998E-2</v>
      </c>
      <c r="J360" s="136">
        <v>3.2</v>
      </c>
      <c r="K360" s="138">
        <f>I360*J360</f>
        <v>0.1168</v>
      </c>
    </row>
    <row r="361" spans="1:11" ht="24.75">
      <c r="A361" s="136" t="s">
        <v>1208</v>
      </c>
      <c r="B361" s="137" t="s">
        <v>792</v>
      </c>
      <c r="C361" s="137" t="s">
        <v>698</v>
      </c>
      <c r="D361" s="137">
        <v>4351</v>
      </c>
      <c r="E361" s="136" t="s">
        <v>575</v>
      </c>
      <c r="F361" s="1033" t="s">
        <v>1703</v>
      </c>
      <c r="G361" s="1034"/>
      <c r="H361" s="137" t="s">
        <v>411</v>
      </c>
      <c r="I361" s="136">
        <v>2</v>
      </c>
      <c r="J361" s="136">
        <v>23.11</v>
      </c>
      <c r="K361" s="138">
        <f t="shared" ref="K361:K366" si="32">I361*J361</f>
        <v>46.22</v>
      </c>
    </row>
    <row r="362" spans="1:11" ht="24.75">
      <c r="A362" s="136" t="s">
        <v>1208</v>
      </c>
      <c r="B362" s="137" t="s">
        <v>792</v>
      </c>
      <c r="C362" s="137" t="s">
        <v>698</v>
      </c>
      <c r="D362" s="137">
        <v>6142</v>
      </c>
      <c r="E362" s="136" t="s">
        <v>587</v>
      </c>
      <c r="F362" s="1033" t="s">
        <v>1703</v>
      </c>
      <c r="G362" s="1034"/>
      <c r="H362" s="137" t="s">
        <v>411</v>
      </c>
      <c r="I362" s="136">
        <v>1</v>
      </c>
      <c r="J362" s="136">
        <v>10.68</v>
      </c>
      <c r="K362" s="138">
        <f t="shared" si="32"/>
        <v>10.68</v>
      </c>
    </row>
    <row r="363" spans="1:11">
      <c r="A363" s="136" t="s">
        <v>1208</v>
      </c>
      <c r="B363" s="137" t="s">
        <v>792</v>
      </c>
      <c r="C363" s="137" t="s">
        <v>698</v>
      </c>
      <c r="D363" s="137">
        <v>10432</v>
      </c>
      <c r="E363" s="136" t="s">
        <v>1793</v>
      </c>
      <c r="F363" s="1033" t="s">
        <v>1703</v>
      </c>
      <c r="G363" s="1034"/>
      <c r="H363" s="137" t="s">
        <v>411</v>
      </c>
      <c r="I363" s="136">
        <v>1</v>
      </c>
      <c r="J363" s="136">
        <v>413.42</v>
      </c>
      <c r="K363" s="138">
        <f t="shared" si="32"/>
        <v>413.42</v>
      </c>
    </row>
    <row r="364" spans="1:11" ht="24.75">
      <c r="A364" s="136" t="s">
        <v>1208</v>
      </c>
      <c r="B364" s="137" t="s">
        <v>792</v>
      </c>
      <c r="C364" s="137" t="s">
        <v>698</v>
      </c>
      <c r="D364" s="137">
        <v>21112</v>
      </c>
      <c r="E364" s="136" t="s">
        <v>429</v>
      </c>
      <c r="F364" s="1033" t="s">
        <v>1703</v>
      </c>
      <c r="G364" s="1034"/>
      <c r="H364" s="137" t="s">
        <v>411</v>
      </c>
      <c r="I364" s="136">
        <v>1</v>
      </c>
      <c r="J364" s="136">
        <v>212.3</v>
      </c>
      <c r="K364" s="138">
        <f t="shared" si="32"/>
        <v>212.3</v>
      </c>
    </row>
    <row r="365" spans="1:11">
      <c r="A365" s="136" t="s">
        <v>1208</v>
      </c>
      <c r="B365" s="137" t="s">
        <v>1705</v>
      </c>
      <c r="C365" s="137" t="s">
        <v>698</v>
      </c>
      <c r="D365" s="137">
        <v>88267</v>
      </c>
      <c r="E365" s="136" t="s">
        <v>506</v>
      </c>
      <c r="F365" s="1033" t="s">
        <v>1706</v>
      </c>
      <c r="G365" s="1034"/>
      <c r="H365" s="137" t="s">
        <v>412</v>
      </c>
      <c r="I365" s="136">
        <v>1.0089999999999999</v>
      </c>
      <c r="J365" s="136">
        <v>32.130000000000003</v>
      </c>
      <c r="K365" s="138">
        <f t="shared" si="32"/>
        <v>32.419170000000001</v>
      </c>
    </row>
    <row r="366" spans="1:11">
      <c r="A366" s="136" t="s">
        <v>1208</v>
      </c>
      <c r="B366" s="137" t="s">
        <v>1705</v>
      </c>
      <c r="C366" s="137" t="s">
        <v>698</v>
      </c>
      <c r="D366" s="137">
        <v>88316</v>
      </c>
      <c r="E366" s="136" t="s">
        <v>414</v>
      </c>
      <c r="F366" s="1033" t="s">
        <v>1706</v>
      </c>
      <c r="G366" s="1034"/>
      <c r="H366" s="137" t="s">
        <v>412</v>
      </c>
      <c r="I366" s="136">
        <v>0.31790000000000002</v>
      </c>
      <c r="J366" s="136">
        <v>25.49</v>
      </c>
      <c r="K366" s="138">
        <f t="shared" si="32"/>
        <v>8.1032709999999994</v>
      </c>
    </row>
    <row r="367" spans="1:11">
      <c r="A367" s="139"/>
      <c r="E367" s="139"/>
      <c r="F367" s="139"/>
      <c r="I367" s="139"/>
      <c r="J367" s="139"/>
      <c r="K367" s="140"/>
    </row>
    <row r="368" spans="1:11">
      <c r="A368" s="128"/>
      <c r="B368" s="129" t="s">
        <v>1691</v>
      </c>
      <c r="C368" s="129" t="s">
        <v>1692</v>
      </c>
      <c r="D368" s="129" t="s">
        <v>1693</v>
      </c>
      <c r="E368" s="130" t="s">
        <v>0</v>
      </c>
      <c r="F368" s="130" t="s">
        <v>1694</v>
      </c>
      <c r="G368" s="129"/>
      <c r="H368" s="129" t="s">
        <v>1695</v>
      </c>
      <c r="I368" s="130" t="s">
        <v>1696</v>
      </c>
      <c r="J368" s="130" t="s">
        <v>1697</v>
      </c>
      <c r="K368" s="131" t="s">
        <v>1698</v>
      </c>
    </row>
    <row r="369" spans="1:11" ht="31.5">
      <c r="A369" s="132" t="s">
        <v>1794</v>
      </c>
      <c r="B369" s="133" t="s">
        <v>1700</v>
      </c>
      <c r="C369" s="133" t="s">
        <v>698</v>
      </c>
      <c r="D369" s="133">
        <v>100868</v>
      </c>
      <c r="E369" s="134" t="s">
        <v>598</v>
      </c>
      <c r="F369" s="134" t="s">
        <v>516</v>
      </c>
      <c r="G369" s="133"/>
      <c r="H369" s="133" t="s">
        <v>411</v>
      </c>
      <c r="I369" s="134"/>
      <c r="J369" s="146"/>
      <c r="K369" s="135">
        <f>SUM(K370:K373)</f>
        <v>291.75171700000004</v>
      </c>
    </row>
    <row r="370" spans="1:11" ht="24.75">
      <c r="A370" s="136" t="s">
        <v>1208</v>
      </c>
      <c r="B370" s="137" t="s">
        <v>792</v>
      </c>
      <c r="C370" s="137" t="s">
        <v>698</v>
      </c>
      <c r="D370" s="137">
        <v>4351</v>
      </c>
      <c r="E370" s="136" t="s">
        <v>575</v>
      </c>
      <c r="F370" s="1033" t="s">
        <v>1703</v>
      </c>
      <c r="G370" s="1034"/>
      <c r="H370" s="137" t="s">
        <v>411</v>
      </c>
      <c r="I370" s="136">
        <v>6</v>
      </c>
      <c r="J370" s="136">
        <v>23.11</v>
      </c>
      <c r="K370" s="138">
        <f>I370*J370</f>
        <v>138.66</v>
      </c>
    </row>
    <row r="371" spans="1:11">
      <c r="A371" s="136" t="s">
        <v>1208</v>
      </c>
      <c r="B371" s="137" t="s">
        <v>792</v>
      </c>
      <c r="C371" s="137" t="s">
        <v>698</v>
      </c>
      <c r="D371" s="137">
        <v>36081</v>
      </c>
      <c r="E371" s="136" t="s">
        <v>599</v>
      </c>
      <c r="F371" s="1033" t="s">
        <v>1703</v>
      </c>
      <c r="G371" s="1034"/>
      <c r="H371" s="137" t="s">
        <v>411</v>
      </c>
      <c r="I371" s="136">
        <v>1</v>
      </c>
      <c r="J371" s="136">
        <v>115</v>
      </c>
      <c r="K371" s="138">
        <f t="shared" ref="K371:K373" si="33">I371*J371</f>
        <v>115</v>
      </c>
    </row>
    <row r="372" spans="1:11">
      <c r="A372" s="136" t="s">
        <v>1208</v>
      </c>
      <c r="B372" s="137" t="s">
        <v>1705</v>
      </c>
      <c r="C372" s="137" t="s">
        <v>698</v>
      </c>
      <c r="D372" s="137">
        <v>88267</v>
      </c>
      <c r="E372" s="136" t="s">
        <v>506</v>
      </c>
      <c r="F372" s="1033" t="s">
        <v>1706</v>
      </c>
      <c r="G372" s="1034"/>
      <c r="H372" s="137" t="s">
        <v>412</v>
      </c>
      <c r="I372" s="136">
        <v>0.94850000000000001</v>
      </c>
      <c r="J372" s="136">
        <v>32.130000000000003</v>
      </c>
      <c r="K372" s="138">
        <f t="shared" si="33"/>
        <v>30.475305000000002</v>
      </c>
    </row>
    <row r="373" spans="1:11">
      <c r="A373" s="136" t="s">
        <v>1208</v>
      </c>
      <c r="B373" s="137" t="s">
        <v>1705</v>
      </c>
      <c r="C373" s="137" t="s">
        <v>698</v>
      </c>
      <c r="D373" s="137">
        <v>88316</v>
      </c>
      <c r="E373" s="136" t="s">
        <v>414</v>
      </c>
      <c r="F373" s="1033" t="s">
        <v>1706</v>
      </c>
      <c r="G373" s="1034"/>
      <c r="H373" s="137" t="s">
        <v>412</v>
      </c>
      <c r="I373" s="136">
        <v>0.29880000000000001</v>
      </c>
      <c r="J373" s="136">
        <v>25.49</v>
      </c>
      <c r="K373" s="138">
        <f t="shared" si="33"/>
        <v>7.6164119999999995</v>
      </c>
    </row>
    <row r="374" spans="1:11">
      <c r="A374" s="139"/>
      <c r="E374" s="139"/>
      <c r="F374" s="139"/>
      <c r="I374" s="139"/>
      <c r="J374" s="139"/>
      <c r="K374" s="140"/>
    </row>
    <row r="375" spans="1:11">
      <c r="A375" s="128"/>
      <c r="B375" s="129" t="s">
        <v>1691</v>
      </c>
      <c r="C375" s="129" t="s">
        <v>1692</v>
      </c>
      <c r="D375" s="129" t="s">
        <v>1693</v>
      </c>
      <c r="E375" s="130" t="s">
        <v>0</v>
      </c>
      <c r="F375" s="130" t="s">
        <v>1694</v>
      </c>
      <c r="G375" s="129"/>
      <c r="H375" s="129" t="s">
        <v>1695</v>
      </c>
      <c r="I375" s="130" t="s">
        <v>1696</v>
      </c>
      <c r="J375" s="130" t="s">
        <v>1697</v>
      </c>
      <c r="K375" s="131" t="s">
        <v>1698</v>
      </c>
    </row>
    <row r="376" spans="1:11" ht="50.1" customHeight="1">
      <c r="A376" s="132" t="s">
        <v>1795</v>
      </c>
      <c r="B376" s="133" t="s">
        <v>1700</v>
      </c>
      <c r="C376" s="133" t="s">
        <v>698</v>
      </c>
      <c r="D376" s="133">
        <v>100867</v>
      </c>
      <c r="E376" s="134" t="s">
        <v>596</v>
      </c>
      <c r="F376" s="134" t="s">
        <v>516</v>
      </c>
      <c r="G376" s="133"/>
      <c r="H376" s="133" t="s">
        <v>411</v>
      </c>
      <c r="I376" s="134"/>
      <c r="J376" s="146"/>
      <c r="K376" s="135">
        <f>SUM(K377:K380)</f>
        <v>284.60171700000001</v>
      </c>
    </row>
    <row r="377" spans="1:11" ht="24.75">
      <c r="A377" s="136" t="s">
        <v>1208</v>
      </c>
      <c r="B377" s="137" t="s">
        <v>792</v>
      </c>
      <c r="C377" s="137" t="s">
        <v>698</v>
      </c>
      <c r="D377" s="137">
        <v>4351</v>
      </c>
      <c r="E377" s="136" t="s">
        <v>575</v>
      </c>
      <c r="F377" s="1033" t="s">
        <v>1703</v>
      </c>
      <c r="G377" s="1034"/>
      <c r="H377" s="137" t="s">
        <v>411</v>
      </c>
      <c r="I377" s="136">
        <v>6</v>
      </c>
      <c r="J377" s="136">
        <v>23.11</v>
      </c>
      <c r="K377" s="138">
        <f>I377*J377</f>
        <v>138.66</v>
      </c>
    </row>
    <row r="378" spans="1:11">
      <c r="A378" s="136" t="s">
        <v>1208</v>
      </c>
      <c r="B378" s="137" t="s">
        <v>792</v>
      </c>
      <c r="C378" s="137" t="s">
        <v>698</v>
      </c>
      <c r="D378" s="137">
        <v>36205</v>
      </c>
      <c r="E378" s="136" t="s">
        <v>597</v>
      </c>
      <c r="F378" s="1033" t="s">
        <v>1703</v>
      </c>
      <c r="G378" s="1034"/>
      <c r="H378" s="137" t="s">
        <v>411</v>
      </c>
      <c r="I378" s="136">
        <v>1</v>
      </c>
      <c r="J378" s="136">
        <v>107.85</v>
      </c>
      <c r="K378" s="138">
        <f t="shared" ref="K378:K380" si="34">I378*J378</f>
        <v>107.85</v>
      </c>
    </row>
    <row r="379" spans="1:11">
      <c r="A379" s="136" t="s">
        <v>1208</v>
      </c>
      <c r="B379" s="137" t="s">
        <v>1705</v>
      </c>
      <c r="C379" s="137" t="s">
        <v>698</v>
      </c>
      <c r="D379" s="137">
        <v>88267</v>
      </c>
      <c r="E379" s="136" t="s">
        <v>506</v>
      </c>
      <c r="F379" s="1033" t="s">
        <v>1706</v>
      </c>
      <c r="G379" s="1034"/>
      <c r="H379" s="137" t="s">
        <v>412</v>
      </c>
      <c r="I379" s="136">
        <v>0.94850000000000001</v>
      </c>
      <c r="J379" s="136">
        <v>32.130000000000003</v>
      </c>
      <c r="K379" s="138">
        <f t="shared" si="34"/>
        <v>30.475305000000002</v>
      </c>
    </row>
    <row r="380" spans="1:11">
      <c r="A380" s="136" t="s">
        <v>1208</v>
      </c>
      <c r="B380" s="137" t="s">
        <v>1705</v>
      </c>
      <c r="C380" s="137" t="s">
        <v>698</v>
      </c>
      <c r="D380" s="137">
        <v>88316</v>
      </c>
      <c r="E380" s="136" t="s">
        <v>414</v>
      </c>
      <c r="F380" s="1033" t="s">
        <v>1706</v>
      </c>
      <c r="G380" s="1034"/>
      <c r="H380" s="137" t="s">
        <v>412</v>
      </c>
      <c r="I380" s="136">
        <v>0.29880000000000001</v>
      </c>
      <c r="J380" s="136">
        <v>25.49</v>
      </c>
      <c r="K380" s="138">
        <f t="shared" si="34"/>
        <v>7.6164119999999995</v>
      </c>
    </row>
    <row r="381" spans="1:11">
      <c r="A381" s="139"/>
      <c r="E381" s="139"/>
      <c r="F381" s="139"/>
      <c r="I381" s="139"/>
      <c r="J381" s="139"/>
      <c r="K381" s="140"/>
    </row>
    <row r="382" spans="1:11">
      <c r="A382" s="128"/>
      <c r="B382" s="129" t="s">
        <v>1691</v>
      </c>
      <c r="C382" s="129" t="s">
        <v>1692</v>
      </c>
      <c r="D382" s="129" t="s">
        <v>1693</v>
      </c>
      <c r="E382" s="130" t="s">
        <v>0</v>
      </c>
      <c r="F382" s="130" t="s">
        <v>1694</v>
      </c>
      <c r="G382" s="129"/>
      <c r="H382" s="129" t="s">
        <v>1695</v>
      </c>
      <c r="I382" s="130" t="s">
        <v>1696</v>
      </c>
      <c r="J382" s="130" t="s">
        <v>1697</v>
      </c>
      <c r="K382" s="131" t="s">
        <v>1698</v>
      </c>
    </row>
    <row r="383" spans="1:11" ht="50.1" customHeight="1">
      <c r="A383" s="132" t="s">
        <v>1796</v>
      </c>
      <c r="B383" s="133" t="s">
        <v>1700</v>
      </c>
      <c r="C383" s="133" t="s">
        <v>698</v>
      </c>
      <c r="D383" s="133">
        <v>101908</v>
      </c>
      <c r="E383" s="134" t="s">
        <v>507</v>
      </c>
      <c r="F383" s="134" t="s">
        <v>499</v>
      </c>
      <c r="G383" s="133"/>
      <c r="H383" s="133" t="s">
        <v>411</v>
      </c>
      <c r="I383" s="134"/>
      <c r="J383" s="146">
        <f>K383</f>
        <v>242.06269799999998</v>
      </c>
      <c r="K383" s="135">
        <f>SUM(K384:K387)</f>
        <v>242.06269799999998</v>
      </c>
    </row>
    <row r="384" spans="1:11" ht="24.75">
      <c r="A384" s="136" t="s">
        <v>1208</v>
      </c>
      <c r="B384" s="137" t="s">
        <v>792</v>
      </c>
      <c r="C384" s="137" t="s">
        <v>698</v>
      </c>
      <c r="D384" s="137">
        <v>4350</v>
      </c>
      <c r="E384" s="136" t="s">
        <v>500</v>
      </c>
      <c r="F384" s="1033" t="s">
        <v>1703</v>
      </c>
      <c r="G384" s="1034"/>
      <c r="H384" s="137" t="s">
        <v>411</v>
      </c>
      <c r="I384" s="136">
        <v>2</v>
      </c>
      <c r="J384" s="136">
        <v>0.88</v>
      </c>
      <c r="K384" s="138">
        <f>I384*J384</f>
        <v>1.76</v>
      </c>
    </row>
    <row r="385" spans="1:11">
      <c r="A385" s="136" t="s">
        <v>1208</v>
      </c>
      <c r="B385" s="137" t="s">
        <v>792</v>
      </c>
      <c r="C385" s="137" t="s">
        <v>698</v>
      </c>
      <c r="D385" s="137">
        <v>10891</v>
      </c>
      <c r="E385" s="136" t="s">
        <v>422</v>
      </c>
      <c r="F385" s="1033" t="s">
        <v>1703</v>
      </c>
      <c r="G385" s="1034"/>
      <c r="H385" s="137" t="s">
        <v>411</v>
      </c>
      <c r="I385" s="136">
        <v>1</v>
      </c>
      <c r="J385" s="136">
        <v>213.65</v>
      </c>
      <c r="K385" s="138">
        <f t="shared" ref="K385:K387" si="35">I385*J385</f>
        <v>213.65</v>
      </c>
    </row>
    <row r="386" spans="1:11">
      <c r="A386" s="136" t="s">
        <v>1208</v>
      </c>
      <c r="B386" s="137" t="s">
        <v>1705</v>
      </c>
      <c r="C386" s="137" t="s">
        <v>698</v>
      </c>
      <c r="D386" s="137">
        <v>88248</v>
      </c>
      <c r="E386" s="136" t="s">
        <v>505</v>
      </c>
      <c r="F386" s="1033" t="s">
        <v>1706</v>
      </c>
      <c r="G386" s="1034"/>
      <c r="H386" s="137" t="s">
        <v>412</v>
      </c>
      <c r="I386" s="136">
        <v>0.45739999999999997</v>
      </c>
      <c r="J386" s="136">
        <v>26.14</v>
      </c>
      <c r="K386" s="138">
        <f t="shared" si="35"/>
        <v>11.956436</v>
      </c>
    </row>
    <row r="387" spans="1:11">
      <c r="A387" s="136" t="s">
        <v>1208</v>
      </c>
      <c r="B387" s="137" t="s">
        <v>1705</v>
      </c>
      <c r="C387" s="137" t="s">
        <v>698</v>
      </c>
      <c r="D387" s="137">
        <v>88267</v>
      </c>
      <c r="E387" s="136" t="s">
        <v>506</v>
      </c>
      <c r="F387" s="1033" t="s">
        <v>1706</v>
      </c>
      <c r="G387" s="1034"/>
      <c r="H387" s="137" t="s">
        <v>412</v>
      </c>
      <c r="I387" s="136">
        <v>0.45739999999999997</v>
      </c>
      <c r="J387" s="136">
        <v>32.130000000000003</v>
      </c>
      <c r="K387" s="138">
        <f t="shared" si="35"/>
        <v>14.696262000000001</v>
      </c>
    </row>
    <row r="388" spans="1:11">
      <c r="A388" s="139"/>
      <c r="E388" s="139"/>
      <c r="F388" s="139"/>
      <c r="I388" s="139"/>
      <c r="J388" s="139"/>
      <c r="K388" s="140"/>
    </row>
    <row r="389" spans="1:11">
      <c r="A389" s="128"/>
      <c r="B389" s="129" t="s">
        <v>1691</v>
      </c>
      <c r="C389" s="129" t="s">
        <v>1692</v>
      </c>
      <c r="D389" s="129" t="s">
        <v>1693</v>
      </c>
      <c r="E389" s="130" t="s">
        <v>0</v>
      </c>
      <c r="F389" s="130" t="s">
        <v>1694</v>
      </c>
      <c r="G389" s="129"/>
      <c r="H389" s="129" t="s">
        <v>1695</v>
      </c>
      <c r="I389" s="130" t="s">
        <v>1696</v>
      </c>
      <c r="J389" s="130" t="s">
        <v>1697</v>
      </c>
      <c r="K389" s="131" t="s">
        <v>1698</v>
      </c>
    </row>
    <row r="390" spans="1:11" ht="50.1" customHeight="1">
      <c r="A390" s="132" t="s">
        <v>1797</v>
      </c>
      <c r="B390" s="133" t="s">
        <v>1700</v>
      </c>
      <c r="C390" s="133" t="s">
        <v>698</v>
      </c>
      <c r="D390" s="133">
        <v>101912</v>
      </c>
      <c r="E390" s="134" t="s">
        <v>508</v>
      </c>
      <c r="F390" s="134" t="s">
        <v>499</v>
      </c>
      <c r="G390" s="133"/>
      <c r="H390" s="133" t="s">
        <v>411</v>
      </c>
      <c r="I390" s="134"/>
      <c r="J390" s="146"/>
      <c r="K390" s="135">
        <f>SUM(K391:K399)</f>
        <v>1947.1233110000001</v>
      </c>
    </row>
    <row r="391" spans="1:11" ht="36.75">
      <c r="A391" s="136" t="s">
        <v>1208</v>
      </c>
      <c r="B391" s="137" t="s">
        <v>792</v>
      </c>
      <c r="C391" s="137" t="s">
        <v>698</v>
      </c>
      <c r="D391" s="137">
        <v>10521</v>
      </c>
      <c r="E391" s="136" t="s">
        <v>509</v>
      </c>
      <c r="F391" s="1033" t="s">
        <v>1703</v>
      </c>
      <c r="G391" s="1034"/>
      <c r="H391" s="137" t="s">
        <v>411</v>
      </c>
      <c r="I391" s="136">
        <v>1</v>
      </c>
      <c r="J391" s="136">
        <v>272.04000000000002</v>
      </c>
      <c r="K391" s="138">
        <f>J391*I391</f>
        <v>272.04000000000002</v>
      </c>
    </row>
    <row r="392" spans="1:11" ht="24.75">
      <c r="A392" s="136" t="s">
        <v>1208</v>
      </c>
      <c r="B392" s="137" t="s">
        <v>792</v>
      </c>
      <c r="C392" s="137" t="s">
        <v>698</v>
      </c>
      <c r="D392" s="137">
        <v>10899</v>
      </c>
      <c r="E392" s="136" t="s">
        <v>501</v>
      </c>
      <c r="F392" s="1033" t="s">
        <v>1703</v>
      </c>
      <c r="G392" s="1034"/>
      <c r="H392" s="137" t="s">
        <v>411</v>
      </c>
      <c r="I392" s="136">
        <v>1</v>
      </c>
      <c r="J392" s="136">
        <v>105.14</v>
      </c>
      <c r="K392" s="138">
        <f t="shared" ref="K392:K399" si="36">J392*I392</f>
        <v>105.14</v>
      </c>
    </row>
    <row r="393" spans="1:11" ht="24.75">
      <c r="A393" s="136" t="s">
        <v>1208</v>
      </c>
      <c r="B393" s="137" t="s">
        <v>792</v>
      </c>
      <c r="C393" s="137" t="s">
        <v>698</v>
      </c>
      <c r="D393" s="137">
        <v>10904</v>
      </c>
      <c r="E393" s="136" t="s">
        <v>502</v>
      </c>
      <c r="F393" s="1033" t="s">
        <v>1703</v>
      </c>
      <c r="G393" s="1034"/>
      <c r="H393" s="137" t="s">
        <v>411</v>
      </c>
      <c r="I393" s="136">
        <v>1</v>
      </c>
      <c r="J393" s="136">
        <v>240</v>
      </c>
      <c r="K393" s="138">
        <f t="shared" si="36"/>
        <v>240</v>
      </c>
    </row>
    <row r="394" spans="1:11" ht="24.75">
      <c r="A394" s="136" t="s">
        <v>1208</v>
      </c>
      <c r="B394" s="137" t="s">
        <v>792</v>
      </c>
      <c r="C394" s="137" t="s">
        <v>698</v>
      </c>
      <c r="D394" s="137">
        <v>20971</v>
      </c>
      <c r="E394" s="136" t="s">
        <v>503</v>
      </c>
      <c r="F394" s="1033" t="s">
        <v>1703</v>
      </c>
      <c r="G394" s="1034"/>
      <c r="H394" s="137" t="s">
        <v>411</v>
      </c>
      <c r="I394" s="136">
        <v>1</v>
      </c>
      <c r="J394" s="136">
        <v>22.85</v>
      </c>
      <c r="K394" s="138">
        <f t="shared" si="36"/>
        <v>22.85</v>
      </c>
    </row>
    <row r="395" spans="1:11" ht="24.75">
      <c r="A395" s="136" t="s">
        <v>1208</v>
      </c>
      <c r="B395" s="137" t="s">
        <v>792</v>
      </c>
      <c r="C395" s="137" t="s">
        <v>698</v>
      </c>
      <c r="D395" s="137">
        <v>21029</v>
      </c>
      <c r="E395" s="136" t="s">
        <v>510</v>
      </c>
      <c r="F395" s="1033" t="s">
        <v>1703</v>
      </c>
      <c r="G395" s="1034"/>
      <c r="H395" s="137" t="s">
        <v>411</v>
      </c>
      <c r="I395" s="136">
        <v>1</v>
      </c>
      <c r="J395" s="136">
        <v>651.12</v>
      </c>
      <c r="K395" s="138">
        <f t="shared" si="36"/>
        <v>651.12</v>
      </c>
    </row>
    <row r="396" spans="1:11">
      <c r="A396" s="136" t="s">
        <v>1208</v>
      </c>
      <c r="B396" s="137" t="s">
        <v>792</v>
      </c>
      <c r="C396" s="137" t="s">
        <v>698</v>
      </c>
      <c r="D396" s="137">
        <v>37555</v>
      </c>
      <c r="E396" s="136" t="s">
        <v>504</v>
      </c>
      <c r="F396" s="1033" t="s">
        <v>1703</v>
      </c>
      <c r="G396" s="1034"/>
      <c r="H396" s="137" t="s">
        <v>411</v>
      </c>
      <c r="I396" s="136">
        <v>1</v>
      </c>
      <c r="J396" s="136">
        <v>342.85</v>
      </c>
      <c r="K396" s="138">
        <f t="shared" si="36"/>
        <v>342.85</v>
      </c>
    </row>
    <row r="397" spans="1:11" ht="24.75">
      <c r="A397" s="136" t="s">
        <v>1208</v>
      </c>
      <c r="B397" s="137" t="s">
        <v>1705</v>
      </c>
      <c r="C397" s="137" t="s">
        <v>698</v>
      </c>
      <c r="D397" s="137">
        <v>87367</v>
      </c>
      <c r="E397" s="136" t="s">
        <v>479</v>
      </c>
      <c r="F397" s="1033" t="s">
        <v>1706</v>
      </c>
      <c r="G397" s="1034"/>
      <c r="H397" s="137" t="s">
        <v>417</v>
      </c>
      <c r="I397" s="136">
        <v>0.29399999999999998</v>
      </c>
      <c r="J397" s="136">
        <v>687.42</v>
      </c>
      <c r="K397" s="138">
        <f t="shared" si="36"/>
        <v>202.10147999999998</v>
      </c>
    </row>
    <row r="398" spans="1:11">
      <c r="A398" s="136" t="s">
        <v>1208</v>
      </c>
      <c r="B398" s="137" t="s">
        <v>1705</v>
      </c>
      <c r="C398" s="137" t="s">
        <v>698</v>
      </c>
      <c r="D398" s="137">
        <v>88248</v>
      </c>
      <c r="E398" s="136" t="s">
        <v>505</v>
      </c>
      <c r="F398" s="1033" t="s">
        <v>1706</v>
      </c>
      <c r="G398" s="1034"/>
      <c r="H398" s="137" t="s">
        <v>412</v>
      </c>
      <c r="I398" s="136">
        <v>1.9053</v>
      </c>
      <c r="J398" s="136">
        <v>26.14</v>
      </c>
      <c r="K398" s="138">
        <f t="shared" si="36"/>
        <v>49.804541999999998</v>
      </c>
    </row>
    <row r="399" spans="1:11">
      <c r="A399" s="136" t="s">
        <v>1208</v>
      </c>
      <c r="B399" s="137" t="s">
        <v>1705</v>
      </c>
      <c r="C399" s="137" t="s">
        <v>698</v>
      </c>
      <c r="D399" s="137">
        <v>88267</v>
      </c>
      <c r="E399" s="136" t="s">
        <v>506</v>
      </c>
      <c r="F399" s="1033" t="s">
        <v>1706</v>
      </c>
      <c r="G399" s="1034"/>
      <c r="H399" s="137" t="s">
        <v>412</v>
      </c>
      <c r="I399" s="136">
        <v>1.9053</v>
      </c>
      <c r="J399" s="136">
        <v>32.130000000000003</v>
      </c>
      <c r="K399" s="138">
        <f t="shared" si="36"/>
        <v>61.217289000000008</v>
      </c>
    </row>
    <row r="400" spans="1:11">
      <c r="A400" s="139"/>
      <c r="E400" s="139"/>
      <c r="F400" s="139"/>
      <c r="I400" s="139"/>
      <c r="J400" s="139"/>
      <c r="K400" s="140"/>
    </row>
    <row r="401" spans="1:11">
      <c r="A401" s="128"/>
      <c r="B401" s="129" t="s">
        <v>1691</v>
      </c>
      <c r="C401" s="129" t="s">
        <v>1692</v>
      </c>
      <c r="D401" s="129" t="s">
        <v>1693</v>
      </c>
      <c r="E401" s="130" t="s">
        <v>0</v>
      </c>
      <c r="F401" s="130" t="s">
        <v>1694</v>
      </c>
      <c r="G401" s="129"/>
      <c r="H401" s="129" t="s">
        <v>1695</v>
      </c>
      <c r="I401" s="130" t="s">
        <v>1696</v>
      </c>
      <c r="J401" s="130" t="s">
        <v>1697</v>
      </c>
      <c r="K401" s="131" t="s">
        <v>1698</v>
      </c>
    </row>
    <row r="402" spans="1:11" ht="50.1" customHeight="1">
      <c r="A402" s="132" t="s">
        <v>1798</v>
      </c>
      <c r="B402" s="133" t="s">
        <v>1700</v>
      </c>
      <c r="C402" s="133" t="s">
        <v>698</v>
      </c>
      <c r="D402" s="133">
        <v>95696</v>
      </c>
      <c r="E402" s="134" t="s">
        <v>556</v>
      </c>
      <c r="F402" s="134" t="s">
        <v>516</v>
      </c>
      <c r="G402" s="133"/>
      <c r="H402" s="133" t="s">
        <v>411</v>
      </c>
      <c r="I402" s="134"/>
      <c r="J402" s="146"/>
      <c r="K402" s="135">
        <f>SUM(K403:K407)</f>
        <v>46.586099999999995</v>
      </c>
    </row>
    <row r="403" spans="1:11">
      <c r="A403" s="136" t="s">
        <v>1208</v>
      </c>
      <c r="B403" s="137" t="s">
        <v>792</v>
      </c>
      <c r="C403" s="137" t="s">
        <v>698</v>
      </c>
      <c r="D403" s="137">
        <v>3148</v>
      </c>
      <c r="E403" s="136" t="s">
        <v>1799</v>
      </c>
      <c r="F403" s="1033" t="s">
        <v>1703</v>
      </c>
      <c r="G403" s="1034"/>
      <c r="H403" s="137" t="s">
        <v>411</v>
      </c>
      <c r="I403" s="136">
        <v>4.0000000000000001E-3</v>
      </c>
      <c r="J403" s="136">
        <v>11.8</v>
      </c>
      <c r="K403" s="138">
        <f>I403*J403</f>
        <v>4.7200000000000006E-2</v>
      </c>
    </row>
    <row r="404" spans="1:11" ht="24.75">
      <c r="A404" s="136" t="s">
        <v>1208</v>
      </c>
      <c r="B404" s="137" t="s">
        <v>792</v>
      </c>
      <c r="C404" s="137" t="s">
        <v>698</v>
      </c>
      <c r="D404" s="137">
        <v>21040</v>
      </c>
      <c r="E404" s="136" t="s">
        <v>557</v>
      </c>
      <c r="F404" s="1033" t="s">
        <v>1703</v>
      </c>
      <c r="G404" s="1034"/>
      <c r="H404" s="137" t="s">
        <v>411</v>
      </c>
      <c r="I404" s="136">
        <v>1</v>
      </c>
      <c r="J404" s="136">
        <v>36.5</v>
      </c>
      <c r="K404" s="138">
        <f t="shared" ref="K404:K407" si="37">I404*J404</f>
        <v>36.5</v>
      </c>
    </row>
    <row r="405" spans="1:11">
      <c r="A405" s="136" t="s">
        <v>1208</v>
      </c>
      <c r="B405" s="137" t="s">
        <v>792</v>
      </c>
      <c r="C405" s="137" t="s">
        <v>698</v>
      </c>
      <c r="D405" s="137">
        <v>40607</v>
      </c>
      <c r="E405" s="136" t="s">
        <v>1800</v>
      </c>
      <c r="F405" s="1033" t="s">
        <v>1703</v>
      </c>
      <c r="G405" s="1034"/>
      <c r="H405" s="137" t="s">
        <v>411</v>
      </c>
      <c r="I405" s="136">
        <v>1</v>
      </c>
      <c r="J405" s="136">
        <v>5.96</v>
      </c>
      <c r="K405" s="138">
        <f t="shared" si="37"/>
        <v>5.96</v>
      </c>
    </row>
    <row r="406" spans="1:11">
      <c r="A406" s="136" t="s">
        <v>1208</v>
      </c>
      <c r="B406" s="137" t="s">
        <v>1705</v>
      </c>
      <c r="C406" s="137" t="s">
        <v>698</v>
      </c>
      <c r="D406" s="137">
        <v>88248</v>
      </c>
      <c r="E406" s="136" t="s">
        <v>505</v>
      </c>
      <c r="F406" s="1033" t="s">
        <v>1706</v>
      </c>
      <c r="G406" s="1034"/>
      <c r="H406" s="137" t="s">
        <v>412</v>
      </c>
      <c r="I406" s="136">
        <v>7.0000000000000007E-2</v>
      </c>
      <c r="J406" s="136">
        <v>26.14</v>
      </c>
      <c r="K406" s="138">
        <f t="shared" si="37"/>
        <v>1.8298000000000003</v>
      </c>
    </row>
    <row r="407" spans="1:11">
      <c r="A407" s="136" t="s">
        <v>1208</v>
      </c>
      <c r="B407" s="137" t="s">
        <v>1705</v>
      </c>
      <c r="C407" s="137" t="s">
        <v>698</v>
      </c>
      <c r="D407" s="137">
        <v>88267</v>
      </c>
      <c r="E407" s="136" t="s">
        <v>506</v>
      </c>
      <c r="F407" s="1033" t="s">
        <v>1706</v>
      </c>
      <c r="G407" s="1034"/>
      <c r="H407" s="137" t="s">
        <v>412</v>
      </c>
      <c r="I407" s="136">
        <v>7.0000000000000007E-2</v>
      </c>
      <c r="J407" s="136">
        <v>32.130000000000003</v>
      </c>
      <c r="K407" s="138">
        <f t="shared" si="37"/>
        <v>2.2491000000000003</v>
      </c>
    </row>
    <row r="408" spans="1:11">
      <c r="A408" s="139"/>
      <c r="E408" s="139"/>
      <c r="F408" s="139"/>
      <c r="I408" s="139"/>
      <c r="J408" s="139"/>
      <c r="K408" s="140"/>
    </row>
    <row r="409" spans="1:11">
      <c r="A409" s="128"/>
      <c r="B409" s="129" t="s">
        <v>1691</v>
      </c>
      <c r="C409" s="129" t="s">
        <v>1692</v>
      </c>
      <c r="D409" s="129" t="s">
        <v>1693</v>
      </c>
      <c r="E409" s="130" t="s">
        <v>0</v>
      </c>
      <c r="F409" s="130" t="s">
        <v>1694</v>
      </c>
      <c r="G409" s="129"/>
      <c r="H409" s="129" t="s">
        <v>1695</v>
      </c>
      <c r="I409" s="130" t="s">
        <v>1696</v>
      </c>
      <c r="J409" s="130" t="s">
        <v>1697</v>
      </c>
      <c r="K409" s="131" t="s">
        <v>1698</v>
      </c>
    </row>
    <row r="410" spans="1:11" ht="50.1" customHeight="1">
      <c r="A410" s="132" t="s">
        <v>1801</v>
      </c>
      <c r="B410" s="133" t="s">
        <v>1700</v>
      </c>
      <c r="C410" s="133" t="s">
        <v>698</v>
      </c>
      <c r="D410" s="133">
        <v>94464</v>
      </c>
      <c r="E410" s="134" t="s">
        <v>535</v>
      </c>
      <c r="F410" s="134" t="s">
        <v>516</v>
      </c>
      <c r="G410" s="133"/>
      <c r="H410" s="133" t="s">
        <v>405</v>
      </c>
      <c r="I410" s="134"/>
      <c r="J410" s="146"/>
      <c r="K410" s="135">
        <f>SUM(K411:K413)</f>
        <v>191.86175</v>
      </c>
    </row>
    <row r="411" spans="1:11" ht="24.75">
      <c r="A411" s="136" t="s">
        <v>1208</v>
      </c>
      <c r="B411" s="137" t="s">
        <v>792</v>
      </c>
      <c r="C411" s="137" t="s">
        <v>698</v>
      </c>
      <c r="D411" s="137">
        <v>7694</v>
      </c>
      <c r="E411" s="136" t="s">
        <v>526</v>
      </c>
      <c r="F411" s="1033" t="s">
        <v>1703</v>
      </c>
      <c r="G411" s="1034"/>
      <c r="H411" s="137" t="s">
        <v>405</v>
      </c>
      <c r="I411" s="136">
        <v>1.0389999999999999</v>
      </c>
      <c r="J411" s="136">
        <v>144</v>
      </c>
      <c r="K411" s="138">
        <f>I411*J411</f>
        <v>149.61599999999999</v>
      </c>
    </row>
    <row r="412" spans="1:11">
      <c r="A412" s="136" t="s">
        <v>1208</v>
      </c>
      <c r="B412" s="137" t="s">
        <v>1705</v>
      </c>
      <c r="C412" s="137" t="s">
        <v>698</v>
      </c>
      <c r="D412" s="137">
        <v>88248</v>
      </c>
      <c r="E412" s="136" t="s">
        <v>505</v>
      </c>
      <c r="F412" s="1033" t="s">
        <v>1706</v>
      </c>
      <c r="G412" s="1034"/>
      <c r="H412" s="137" t="s">
        <v>412</v>
      </c>
      <c r="I412" s="136">
        <v>0.72499999999999998</v>
      </c>
      <c r="J412" s="136">
        <v>26.14</v>
      </c>
      <c r="K412" s="138">
        <f t="shared" ref="K412:K413" si="38">I412*J412</f>
        <v>18.951499999999999</v>
      </c>
    </row>
    <row r="413" spans="1:11">
      <c r="A413" s="136" t="s">
        <v>1208</v>
      </c>
      <c r="B413" s="137" t="s">
        <v>1705</v>
      </c>
      <c r="C413" s="137" t="s">
        <v>698</v>
      </c>
      <c r="D413" s="137">
        <v>88267</v>
      </c>
      <c r="E413" s="136" t="s">
        <v>506</v>
      </c>
      <c r="F413" s="1033" t="s">
        <v>1706</v>
      </c>
      <c r="G413" s="1034"/>
      <c r="H413" s="137" t="s">
        <v>412</v>
      </c>
      <c r="I413" s="136">
        <v>0.72499999999999998</v>
      </c>
      <c r="J413" s="136">
        <v>32.130000000000003</v>
      </c>
      <c r="K413" s="138">
        <f t="shared" si="38"/>
        <v>23.294250000000002</v>
      </c>
    </row>
    <row r="414" spans="1:11">
      <c r="A414" s="139"/>
      <c r="E414" s="139"/>
      <c r="F414" s="139"/>
      <c r="I414" s="139"/>
      <c r="J414" s="139"/>
      <c r="K414" s="140"/>
    </row>
    <row r="415" spans="1:11">
      <c r="A415" s="128"/>
      <c r="B415" s="129" t="s">
        <v>1691</v>
      </c>
      <c r="C415" s="129" t="s">
        <v>1692</v>
      </c>
      <c r="D415" s="129" t="s">
        <v>1693</v>
      </c>
      <c r="E415" s="130" t="s">
        <v>0</v>
      </c>
      <c r="F415" s="130" t="s">
        <v>1694</v>
      </c>
      <c r="G415" s="129"/>
      <c r="H415" s="129" t="s">
        <v>1695</v>
      </c>
      <c r="I415" s="130" t="s">
        <v>1696</v>
      </c>
      <c r="J415" s="130" t="s">
        <v>1697</v>
      </c>
      <c r="K415" s="131" t="s">
        <v>1698</v>
      </c>
    </row>
    <row r="416" spans="1:11" ht="50.1" customHeight="1">
      <c r="A416" s="132" t="s">
        <v>1802</v>
      </c>
      <c r="B416" s="133" t="s">
        <v>1700</v>
      </c>
      <c r="C416" s="133" t="s">
        <v>698</v>
      </c>
      <c r="D416" s="133">
        <v>92650</v>
      </c>
      <c r="E416" s="134" t="s">
        <v>534</v>
      </c>
      <c r="F416" s="134" t="s">
        <v>516</v>
      </c>
      <c r="G416" s="133"/>
      <c r="H416" s="133" t="s">
        <v>405</v>
      </c>
      <c r="I416" s="134"/>
      <c r="J416" s="146"/>
      <c r="K416" s="135">
        <f>SUM(K417:K420)</f>
        <v>208.27385999999996</v>
      </c>
    </row>
    <row r="417" spans="1:11">
      <c r="A417" s="136" t="s">
        <v>1208</v>
      </c>
      <c r="B417" s="137" t="s">
        <v>792</v>
      </c>
      <c r="C417" s="137" t="s">
        <v>698</v>
      </c>
      <c r="D417" s="137">
        <v>21147</v>
      </c>
      <c r="E417" s="136" t="s">
        <v>528</v>
      </c>
      <c r="F417" s="1033" t="s">
        <v>1703</v>
      </c>
      <c r="G417" s="1034"/>
      <c r="H417" s="137" t="s">
        <v>405</v>
      </c>
      <c r="I417" s="136">
        <v>1.0389999999999999</v>
      </c>
      <c r="J417" s="136">
        <v>184.14</v>
      </c>
      <c r="K417" s="138">
        <f>I417*J417</f>
        <v>191.32145999999997</v>
      </c>
    </row>
    <row r="418" spans="1:11">
      <c r="A418" s="136" t="s">
        <v>1208</v>
      </c>
      <c r="B418" s="137" t="s">
        <v>1705</v>
      </c>
      <c r="C418" s="137" t="s">
        <v>698</v>
      </c>
      <c r="D418" s="137">
        <v>88248</v>
      </c>
      <c r="E418" s="136" t="s">
        <v>505</v>
      </c>
      <c r="F418" s="1033" t="s">
        <v>1706</v>
      </c>
      <c r="G418" s="1034"/>
      <c r="H418" s="137" t="s">
        <v>412</v>
      </c>
      <c r="I418" s="136">
        <v>0.18</v>
      </c>
      <c r="J418" s="136">
        <v>26.14</v>
      </c>
      <c r="K418" s="138">
        <f t="shared" ref="K418:K420" si="39">I418*J418</f>
        <v>4.7051999999999996</v>
      </c>
    </row>
    <row r="419" spans="1:11">
      <c r="A419" s="136" t="s">
        <v>1208</v>
      </c>
      <c r="B419" s="137" t="s">
        <v>1705</v>
      </c>
      <c r="C419" s="137" t="s">
        <v>698</v>
      </c>
      <c r="D419" s="137">
        <v>88267</v>
      </c>
      <c r="E419" s="136" t="s">
        <v>506</v>
      </c>
      <c r="F419" s="1033" t="s">
        <v>1706</v>
      </c>
      <c r="G419" s="1034"/>
      <c r="H419" s="137" t="s">
        <v>412</v>
      </c>
      <c r="I419" s="136">
        <v>0.18</v>
      </c>
      <c r="J419" s="136">
        <v>32.130000000000003</v>
      </c>
      <c r="K419" s="138">
        <f t="shared" si="39"/>
        <v>5.7834000000000003</v>
      </c>
    </row>
    <row r="420" spans="1:11">
      <c r="A420" s="136" t="s">
        <v>1208</v>
      </c>
      <c r="B420" s="137" t="s">
        <v>1705</v>
      </c>
      <c r="C420" s="137" t="s">
        <v>698</v>
      </c>
      <c r="D420" s="137">
        <v>88317</v>
      </c>
      <c r="E420" s="136" t="s">
        <v>416</v>
      </c>
      <c r="F420" s="1033" t="s">
        <v>1706</v>
      </c>
      <c r="G420" s="1034"/>
      <c r="H420" s="137" t="s">
        <v>412</v>
      </c>
      <c r="I420" s="136">
        <v>0.18</v>
      </c>
      <c r="J420" s="136">
        <v>35.909999999999997</v>
      </c>
      <c r="K420" s="138">
        <f t="shared" si="39"/>
        <v>6.4637999999999991</v>
      </c>
    </row>
    <row r="421" spans="1:11">
      <c r="A421" s="139"/>
      <c r="E421" s="139"/>
      <c r="F421" s="139"/>
      <c r="I421" s="139"/>
      <c r="J421" s="139"/>
      <c r="K421" s="140"/>
    </row>
    <row r="422" spans="1:11">
      <c r="A422" s="128"/>
      <c r="B422" s="129" t="s">
        <v>1691</v>
      </c>
      <c r="C422" s="129" t="s">
        <v>1692</v>
      </c>
      <c r="D422" s="129" t="s">
        <v>1693</v>
      </c>
      <c r="E422" s="130" t="s">
        <v>0</v>
      </c>
      <c r="F422" s="130" t="s">
        <v>1694</v>
      </c>
      <c r="G422" s="129"/>
      <c r="H422" s="129" t="s">
        <v>1695</v>
      </c>
      <c r="I422" s="130" t="s">
        <v>1696</v>
      </c>
      <c r="J422" s="130" t="s">
        <v>1697</v>
      </c>
      <c r="K422" s="131" t="s">
        <v>1698</v>
      </c>
    </row>
    <row r="423" spans="1:11" ht="50.1" customHeight="1">
      <c r="A423" s="132" t="s">
        <v>1803</v>
      </c>
      <c r="B423" s="133" t="s">
        <v>1700</v>
      </c>
      <c r="C423" s="133" t="s">
        <v>698</v>
      </c>
      <c r="D423" s="133">
        <v>92649</v>
      </c>
      <c r="E423" s="134" t="s">
        <v>533</v>
      </c>
      <c r="F423" s="134" t="s">
        <v>516</v>
      </c>
      <c r="G423" s="133"/>
      <c r="H423" s="133" t="s">
        <v>405</v>
      </c>
      <c r="I423" s="134"/>
      <c r="J423" s="146"/>
      <c r="K423" s="135">
        <f>SUM(K424:K427)</f>
        <v>132.20935</v>
      </c>
    </row>
    <row r="424" spans="1:11">
      <c r="A424" s="136" t="s">
        <v>1208</v>
      </c>
      <c r="B424" s="137" t="s">
        <v>792</v>
      </c>
      <c r="C424" s="137" t="s">
        <v>698</v>
      </c>
      <c r="D424" s="137">
        <v>21148</v>
      </c>
      <c r="E424" s="136" t="s">
        <v>527</v>
      </c>
      <c r="F424" s="1033" t="s">
        <v>1703</v>
      </c>
      <c r="G424" s="1034"/>
      <c r="H424" s="137" t="s">
        <v>405</v>
      </c>
      <c r="I424" s="136">
        <v>1.0389999999999999</v>
      </c>
      <c r="J424" s="136">
        <v>113.65</v>
      </c>
      <c r="K424" s="138">
        <f>I424*J424</f>
        <v>118.08234999999999</v>
      </c>
    </row>
    <row r="425" spans="1:11">
      <c r="A425" s="136" t="s">
        <v>1208</v>
      </c>
      <c r="B425" s="137" t="s">
        <v>1705</v>
      </c>
      <c r="C425" s="137" t="s">
        <v>698</v>
      </c>
      <c r="D425" s="137">
        <v>88248</v>
      </c>
      <c r="E425" s="136" t="s">
        <v>505</v>
      </c>
      <c r="F425" s="1033" t="s">
        <v>1706</v>
      </c>
      <c r="G425" s="1034"/>
      <c r="H425" s="137" t="s">
        <v>412</v>
      </c>
      <c r="I425" s="136">
        <v>0.15</v>
      </c>
      <c r="J425" s="136">
        <v>26.14</v>
      </c>
      <c r="K425" s="138">
        <f t="shared" ref="K425:K427" si="40">I425*J425</f>
        <v>3.9209999999999998</v>
      </c>
    </row>
    <row r="426" spans="1:11">
      <c r="A426" s="136" t="s">
        <v>1208</v>
      </c>
      <c r="B426" s="137" t="s">
        <v>1705</v>
      </c>
      <c r="C426" s="137" t="s">
        <v>698</v>
      </c>
      <c r="D426" s="137">
        <v>88267</v>
      </c>
      <c r="E426" s="136" t="s">
        <v>506</v>
      </c>
      <c r="F426" s="1033" t="s">
        <v>1706</v>
      </c>
      <c r="G426" s="1034"/>
      <c r="H426" s="137" t="s">
        <v>412</v>
      </c>
      <c r="I426" s="136">
        <v>0.15</v>
      </c>
      <c r="J426" s="136">
        <v>32.130000000000003</v>
      </c>
      <c r="K426" s="138">
        <f t="shared" si="40"/>
        <v>4.8195000000000006</v>
      </c>
    </row>
    <row r="427" spans="1:11">
      <c r="A427" s="136" t="s">
        <v>1208</v>
      </c>
      <c r="B427" s="137" t="s">
        <v>1705</v>
      </c>
      <c r="C427" s="137" t="s">
        <v>698</v>
      </c>
      <c r="D427" s="137">
        <v>88317</v>
      </c>
      <c r="E427" s="136" t="s">
        <v>416</v>
      </c>
      <c r="F427" s="1033" t="s">
        <v>1706</v>
      </c>
      <c r="G427" s="1034"/>
      <c r="H427" s="137" t="s">
        <v>412</v>
      </c>
      <c r="I427" s="136">
        <v>0.15</v>
      </c>
      <c r="J427" s="136">
        <v>35.909999999999997</v>
      </c>
      <c r="K427" s="138">
        <f t="shared" si="40"/>
        <v>5.386499999999999</v>
      </c>
    </row>
    <row r="428" spans="1:11">
      <c r="A428" s="139"/>
      <c r="E428" s="139"/>
      <c r="F428" s="139"/>
      <c r="I428" s="139"/>
      <c r="J428" s="139"/>
      <c r="K428" s="140"/>
    </row>
    <row r="429" spans="1:11">
      <c r="A429" s="128"/>
      <c r="B429" s="129" t="s">
        <v>1691</v>
      </c>
      <c r="C429" s="129" t="s">
        <v>1692</v>
      </c>
      <c r="D429" s="129" t="s">
        <v>1693</v>
      </c>
      <c r="E429" s="130" t="s">
        <v>0</v>
      </c>
      <c r="F429" s="130" t="s">
        <v>1694</v>
      </c>
      <c r="G429" s="129"/>
      <c r="H429" s="129" t="s">
        <v>1695</v>
      </c>
      <c r="I429" s="130" t="s">
        <v>1696</v>
      </c>
      <c r="J429" s="130" t="s">
        <v>1697</v>
      </c>
      <c r="K429" s="131" t="s">
        <v>1698</v>
      </c>
    </row>
    <row r="430" spans="1:11" ht="50.1" customHeight="1">
      <c r="A430" s="132" t="s">
        <v>1804</v>
      </c>
      <c r="B430" s="133" t="s">
        <v>1700</v>
      </c>
      <c r="C430" s="133" t="s">
        <v>698</v>
      </c>
      <c r="D430" s="133">
        <v>92648</v>
      </c>
      <c r="E430" s="134" t="s">
        <v>531</v>
      </c>
      <c r="F430" s="134" t="s">
        <v>516</v>
      </c>
      <c r="G430" s="133"/>
      <c r="H430" s="133" t="s">
        <v>405</v>
      </c>
      <c r="I430" s="134"/>
      <c r="J430" s="146"/>
      <c r="K430" s="135">
        <f>SUM(K431:K434)</f>
        <v>108.46519000000001</v>
      </c>
    </row>
    <row r="431" spans="1:11">
      <c r="A431" s="136" t="s">
        <v>1208</v>
      </c>
      <c r="B431" s="137" t="s">
        <v>792</v>
      </c>
      <c r="C431" s="137" t="s">
        <v>698</v>
      </c>
      <c r="D431" s="137">
        <v>40624</v>
      </c>
      <c r="E431" s="136" t="s">
        <v>532</v>
      </c>
      <c r="F431" s="1033" t="s">
        <v>1703</v>
      </c>
      <c r="G431" s="1034"/>
      <c r="H431" s="137" t="s">
        <v>405</v>
      </c>
      <c r="I431" s="136">
        <v>1.0389999999999999</v>
      </c>
      <c r="J431" s="136">
        <v>92.61</v>
      </c>
      <c r="K431" s="138">
        <f>I431*J431</f>
        <v>96.221789999999999</v>
      </c>
    </row>
    <row r="432" spans="1:11">
      <c r="A432" s="136" t="s">
        <v>1208</v>
      </c>
      <c r="B432" s="137" t="s">
        <v>1705</v>
      </c>
      <c r="C432" s="137" t="s">
        <v>698</v>
      </c>
      <c r="D432" s="137">
        <v>88248</v>
      </c>
      <c r="E432" s="136" t="s">
        <v>505</v>
      </c>
      <c r="F432" s="1033" t="s">
        <v>1706</v>
      </c>
      <c r="G432" s="1034"/>
      <c r="H432" s="137" t="s">
        <v>412</v>
      </c>
      <c r="I432" s="136">
        <v>0.13</v>
      </c>
      <c r="J432" s="136">
        <v>26.14</v>
      </c>
      <c r="K432" s="138">
        <f t="shared" ref="K432:K434" si="41">I432*J432</f>
        <v>3.3982000000000001</v>
      </c>
    </row>
    <row r="433" spans="1:11">
      <c r="A433" s="136" t="s">
        <v>1208</v>
      </c>
      <c r="B433" s="137" t="s">
        <v>1705</v>
      </c>
      <c r="C433" s="137" t="s">
        <v>698</v>
      </c>
      <c r="D433" s="137">
        <v>88267</v>
      </c>
      <c r="E433" s="136" t="s">
        <v>506</v>
      </c>
      <c r="F433" s="1033" t="s">
        <v>1706</v>
      </c>
      <c r="G433" s="1034"/>
      <c r="H433" s="137" t="s">
        <v>412</v>
      </c>
      <c r="I433" s="136">
        <v>0.13</v>
      </c>
      <c r="J433" s="136">
        <v>32.130000000000003</v>
      </c>
      <c r="K433" s="138">
        <f t="shared" si="41"/>
        <v>4.1769000000000007</v>
      </c>
    </row>
    <row r="434" spans="1:11">
      <c r="A434" s="136" t="s">
        <v>1208</v>
      </c>
      <c r="B434" s="137" t="s">
        <v>1705</v>
      </c>
      <c r="C434" s="137" t="s">
        <v>698</v>
      </c>
      <c r="D434" s="137">
        <v>88317</v>
      </c>
      <c r="E434" s="136" t="s">
        <v>416</v>
      </c>
      <c r="F434" s="1033" t="s">
        <v>1706</v>
      </c>
      <c r="G434" s="1034"/>
      <c r="H434" s="137" t="s">
        <v>412</v>
      </c>
      <c r="I434" s="136">
        <v>0.13</v>
      </c>
      <c r="J434" s="136">
        <v>35.909999999999997</v>
      </c>
      <c r="K434" s="138">
        <f t="shared" si="41"/>
        <v>4.6682999999999995</v>
      </c>
    </row>
    <row r="435" spans="1:11">
      <c r="A435" s="139"/>
      <c r="E435" s="139"/>
      <c r="F435" s="139"/>
      <c r="I435" s="139"/>
      <c r="J435" s="139"/>
      <c r="K435" s="140"/>
    </row>
    <row r="436" spans="1:11">
      <c r="A436" s="128"/>
      <c r="B436" s="129" t="s">
        <v>1691</v>
      </c>
      <c r="C436" s="129" t="s">
        <v>1692</v>
      </c>
      <c r="D436" s="129" t="s">
        <v>1693</v>
      </c>
      <c r="E436" s="130" t="s">
        <v>0</v>
      </c>
      <c r="F436" s="130" t="s">
        <v>1694</v>
      </c>
      <c r="G436" s="129"/>
      <c r="H436" s="129" t="s">
        <v>1695</v>
      </c>
      <c r="I436" s="130" t="s">
        <v>1696</v>
      </c>
      <c r="J436" s="130" t="s">
        <v>1697</v>
      </c>
      <c r="K436" s="131" t="s">
        <v>1698</v>
      </c>
    </row>
    <row r="437" spans="1:11" ht="50.1" customHeight="1">
      <c r="A437" s="132" t="s">
        <v>1805</v>
      </c>
      <c r="B437" s="133" t="s">
        <v>1700</v>
      </c>
      <c r="C437" s="133" t="s">
        <v>698</v>
      </c>
      <c r="D437" s="133">
        <v>92646</v>
      </c>
      <c r="E437" s="134" t="s">
        <v>530</v>
      </c>
      <c r="F437" s="134" t="s">
        <v>516</v>
      </c>
      <c r="G437" s="133"/>
      <c r="H437" s="133" t="s">
        <v>405</v>
      </c>
      <c r="I437" s="134"/>
      <c r="J437" s="146"/>
      <c r="K437" s="135">
        <f>SUM(K438:K441)</f>
        <v>99.041129999999981</v>
      </c>
    </row>
    <row r="438" spans="1:11">
      <c r="A438" s="136" t="s">
        <v>1208</v>
      </c>
      <c r="B438" s="137" t="s">
        <v>792</v>
      </c>
      <c r="C438" s="137" t="s">
        <v>698</v>
      </c>
      <c r="D438" s="137">
        <v>42575</v>
      </c>
      <c r="E438" s="136" t="s">
        <v>529</v>
      </c>
      <c r="F438" s="1033" t="s">
        <v>1703</v>
      </c>
      <c r="G438" s="1034"/>
      <c r="H438" s="137" t="s">
        <v>685</v>
      </c>
      <c r="I438" s="136">
        <v>1.0389999999999999</v>
      </c>
      <c r="J438" s="136">
        <v>84.99</v>
      </c>
      <c r="K438" s="138">
        <f>I438*J438</f>
        <v>88.304609999999983</v>
      </c>
    </row>
    <row r="439" spans="1:11">
      <c r="A439" s="136" t="s">
        <v>1208</v>
      </c>
      <c r="B439" s="137" t="s">
        <v>1705</v>
      </c>
      <c r="C439" s="137" t="s">
        <v>698</v>
      </c>
      <c r="D439" s="137">
        <v>88248</v>
      </c>
      <c r="E439" s="136" t="s">
        <v>505</v>
      </c>
      <c r="F439" s="1033" t="s">
        <v>1706</v>
      </c>
      <c r="G439" s="1034"/>
      <c r="H439" s="137" t="s">
        <v>412</v>
      </c>
      <c r="I439" s="136">
        <v>0.114</v>
      </c>
      <c r="J439" s="136">
        <v>26.14</v>
      </c>
      <c r="K439" s="138">
        <f t="shared" ref="K439:K441" si="42">I439*J439</f>
        <v>2.9799600000000002</v>
      </c>
    </row>
    <row r="440" spans="1:11">
      <c r="A440" s="136" t="s">
        <v>1208</v>
      </c>
      <c r="B440" s="137" t="s">
        <v>1705</v>
      </c>
      <c r="C440" s="137" t="s">
        <v>698</v>
      </c>
      <c r="D440" s="137">
        <v>88267</v>
      </c>
      <c r="E440" s="136" t="s">
        <v>506</v>
      </c>
      <c r="F440" s="1033" t="s">
        <v>1706</v>
      </c>
      <c r="G440" s="1034"/>
      <c r="H440" s="137" t="s">
        <v>412</v>
      </c>
      <c r="I440" s="136">
        <v>0.114</v>
      </c>
      <c r="J440" s="136">
        <v>32.130000000000003</v>
      </c>
      <c r="K440" s="138">
        <f t="shared" si="42"/>
        <v>3.6628200000000004</v>
      </c>
    </row>
    <row r="441" spans="1:11">
      <c r="A441" s="136" t="s">
        <v>1208</v>
      </c>
      <c r="B441" s="137" t="s">
        <v>1705</v>
      </c>
      <c r="C441" s="137" t="s">
        <v>698</v>
      </c>
      <c r="D441" s="137">
        <v>88317</v>
      </c>
      <c r="E441" s="136" t="s">
        <v>416</v>
      </c>
      <c r="F441" s="1033" t="s">
        <v>1706</v>
      </c>
      <c r="G441" s="1034"/>
      <c r="H441" s="137" t="s">
        <v>412</v>
      </c>
      <c r="I441" s="136">
        <v>0.114</v>
      </c>
      <c r="J441" s="136">
        <v>35.909999999999997</v>
      </c>
      <c r="K441" s="138">
        <f t="shared" si="42"/>
        <v>4.0937399999999995</v>
      </c>
    </row>
    <row r="442" spans="1:11">
      <c r="A442" s="139"/>
      <c r="E442" s="139"/>
      <c r="F442" s="139"/>
      <c r="I442" s="139"/>
      <c r="J442" s="139"/>
      <c r="K442" s="140"/>
    </row>
    <row r="443" spans="1:11">
      <c r="A443" s="128"/>
      <c r="B443" s="129" t="s">
        <v>1691</v>
      </c>
      <c r="C443" s="129" t="s">
        <v>1692</v>
      </c>
      <c r="D443" s="129" t="s">
        <v>1693</v>
      </c>
      <c r="E443" s="130" t="s">
        <v>0</v>
      </c>
      <c r="F443" s="130" t="s">
        <v>1694</v>
      </c>
      <c r="G443" s="129"/>
      <c r="H443" s="129" t="s">
        <v>1695</v>
      </c>
      <c r="I443" s="130" t="s">
        <v>1696</v>
      </c>
      <c r="J443" s="130" t="s">
        <v>1697</v>
      </c>
      <c r="K443" s="131" t="s">
        <v>1698</v>
      </c>
    </row>
    <row r="444" spans="1:11" ht="50.1" customHeight="1">
      <c r="A444" s="132" t="s">
        <v>1806</v>
      </c>
      <c r="B444" s="133" t="s">
        <v>1700</v>
      </c>
      <c r="C444" s="133" t="s">
        <v>698</v>
      </c>
      <c r="D444" s="133">
        <v>97482</v>
      </c>
      <c r="E444" s="134" t="s">
        <v>568</v>
      </c>
      <c r="F444" s="134" t="s">
        <v>516</v>
      </c>
      <c r="G444" s="133"/>
      <c r="H444" s="133" t="s">
        <v>411</v>
      </c>
      <c r="I444" s="134"/>
      <c r="J444" s="146"/>
      <c r="K444" s="135">
        <f>SUM(K445:K449)</f>
        <v>94.929119999999983</v>
      </c>
    </row>
    <row r="445" spans="1:11">
      <c r="A445" s="136" t="s">
        <v>1208</v>
      </c>
      <c r="B445" s="137" t="s">
        <v>792</v>
      </c>
      <c r="C445" s="137" t="s">
        <v>698</v>
      </c>
      <c r="D445" s="137">
        <v>11002</v>
      </c>
      <c r="E445" s="136" t="s">
        <v>464</v>
      </c>
      <c r="F445" s="1033" t="s">
        <v>1703</v>
      </c>
      <c r="G445" s="1034"/>
      <c r="H445" s="137" t="s">
        <v>415</v>
      </c>
      <c r="I445" s="136">
        <v>2.4E-2</v>
      </c>
      <c r="J445" s="136">
        <v>48.97</v>
      </c>
      <c r="K445" s="138">
        <f>I445*J445</f>
        <v>1.1752800000000001</v>
      </c>
    </row>
    <row r="446" spans="1:11">
      <c r="A446" s="136" t="s">
        <v>1208</v>
      </c>
      <c r="B446" s="137" t="s">
        <v>792</v>
      </c>
      <c r="C446" s="137" t="s">
        <v>698</v>
      </c>
      <c r="D446" s="137">
        <v>40383</v>
      </c>
      <c r="E446" s="136" t="s">
        <v>569</v>
      </c>
      <c r="F446" s="1033" t="s">
        <v>1703</v>
      </c>
      <c r="G446" s="1034"/>
      <c r="H446" s="137" t="s">
        <v>411</v>
      </c>
      <c r="I446" s="136">
        <v>1</v>
      </c>
      <c r="J446" s="136">
        <v>66.63</v>
      </c>
      <c r="K446" s="138">
        <f t="shared" ref="K446:K449" si="43">I446*J446</f>
        <v>66.63</v>
      </c>
    </row>
    <row r="447" spans="1:11">
      <c r="A447" s="136" t="s">
        <v>1208</v>
      </c>
      <c r="B447" s="137" t="s">
        <v>1705</v>
      </c>
      <c r="C447" s="137" t="s">
        <v>698</v>
      </c>
      <c r="D447" s="137">
        <v>88248</v>
      </c>
      <c r="E447" s="136" t="s">
        <v>505</v>
      </c>
      <c r="F447" s="1033" t="s">
        <v>1706</v>
      </c>
      <c r="G447" s="1034"/>
      <c r="H447" s="137" t="s">
        <v>412</v>
      </c>
      <c r="I447" s="136">
        <v>0.28799999999999998</v>
      </c>
      <c r="J447" s="136">
        <v>26.14</v>
      </c>
      <c r="K447" s="138">
        <f t="shared" si="43"/>
        <v>7.5283199999999999</v>
      </c>
    </row>
    <row r="448" spans="1:11">
      <c r="A448" s="136" t="s">
        <v>1208</v>
      </c>
      <c r="B448" s="137" t="s">
        <v>1705</v>
      </c>
      <c r="C448" s="137" t="s">
        <v>698</v>
      </c>
      <c r="D448" s="137">
        <v>88267</v>
      </c>
      <c r="E448" s="136" t="s">
        <v>506</v>
      </c>
      <c r="F448" s="1033" t="s">
        <v>1706</v>
      </c>
      <c r="G448" s="1034"/>
      <c r="H448" s="137" t="s">
        <v>412</v>
      </c>
      <c r="I448" s="136">
        <v>0.28799999999999998</v>
      </c>
      <c r="J448" s="136">
        <v>32.130000000000003</v>
      </c>
      <c r="K448" s="138">
        <f t="shared" si="43"/>
        <v>9.2534399999999994</v>
      </c>
    </row>
    <row r="449" spans="1:11">
      <c r="A449" s="136" t="s">
        <v>1208</v>
      </c>
      <c r="B449" s="137" t="s">
        <v>1705</v>
      </c>
      <c r="C449" s="137" t="s">
        <v>698</v>
      </c>
      <c r="D449" s="137">
        <v>88317</v>
      </c>
      <c r="E449" s="136" t="s">
        <v>416</v>
      </c>
      <c r="F449" s="1033" t="s">
        <v>1706</v>
      </c>
      <c r="G449" s="1034"/>
      <c r="H449" s="137" t="s">
        <v>412</v>
      </c>
      <c r="I449" s="136">
        <v>0.28799999999999998</v>
      </c>
      <c r="J449" s="136">
        <v>35.909999999999997</v>
      </c>
      <c r="K449" s="138">
        <f t="shared" si="43"/>
        <v>10.342079999999997</v>
      </c>
    </row>
    <row r="450" spans="1:11">
      <c r="A450" s="139"/>
      <c r="E450" s="139"/>
      <c r="F450" s="139"/>
      <c r="I450" s="139"/>
      <c r="J450" s="139"/>
      <c r="K450" s="140"/>
    </row>
    <row r="451" spans="1:11">
      <c r="A451" s="128"/>
      <c r="B451" s="129" t="s">
        <v>1691</v>
      </c>
      <c r="C451" s="129" t="s">
        <v>1692</v>
      </c>
      <c r="D451" s="129" t="s">
        <v>1693</v>
      </c>
      <c r="E451" s="130" t="s">
        <v>0</v>
      </c>
      <c r="F451" s="130" t="s">
        <v>1694</v>
      </c>
      <c r="G451" s="129"/>
      <c r="H451" s="129" t="s">
        <v>1695</v>
      </c>
      <c r="I451" s="130" t="s">
        <v>1696</v>
      </c>
      <c r="J451" s="130" t="s">
        <v>1697</v>
      </c>
      <c r="K451" s="131" t="s">
        <v>1698</v>
      </c>
    </row>
    <row r="452" spans="1:11" ht="50.1" customHeight="1">
      <c r="A452" s="132" t="s">
        <v>1807</v>
      </c>
      <c r="B452" s="133" t="s">
        <v>1700</v>
      </c>
      <c r="C452" s="133" t="s">
        <v>698</v>
      </c>
      <c r="D452" s="133">
        <v>97492</v>
      </c>
      <c r="E452" s="134" t="s">
        <v>570</v>
      </c>
      <c r="F452" s="134" t="s">
        <v>516</v>
      </c>
      <c r="G452" s="133"/>
      <c r="H452" s="133" t="s">
        <v>411</v>
      </c>
      <c r="I452" s="134"/>
      <c r="J452" s="146"/>
      <c r="K452" s="135">
        <f>SUM(K453:K457)</f>
        <v>148.08701000000002</v>
      </c>
    </row>
    <row r="453" spans="1:11">
      <c r="A453" s="136" t="s">
        <v>1208</v>
      </c>
      <c r="B453" s="137" t="s">
        <v>792</v>
      </c>
      <c r="C453" s="137" t="s">
        <v>698</v>
      </c>
      <c r="D453" s="137">
        <v>11002</v>
      </c>
      <c r="E453" s="136" t="s">
        <v>464</v>
      </c>
      <c r="F453" s="1033" t="s">
        <v>1703</v>
      </c>
      <c r="G453" s="1034"/>
      <c r="H453" s="137" t="s">
        <v>415</v>
      </c>
      <c r="I453" s="136">
        <v>3.6999999999999998E-2</v>
      </c>
      <c r="J453" s="136">
        <v>48.97</v>
      </c>
      <c r="K453" s="138">
        <f>I453*J453</f>
        <v>1.8118899999999998</v>
      </c>
    </row>
    <row r="454" spans="1:11">
      <c r="A454" s="136" t="s">
        <v>1208</v>
      </c>
      <c r="B454" s="137" t="s">
        <v>792</v>
      </c>
      <c r="C454" s="137" t="s">
        <v>698</v>
      </c>
      <c r="D454" s="137">
        <v>40395</v>
      </c>
      <c r="E454" s="136" t="s">
        <v>571</v>
      </c>
      <c r="F454" s="1033" t="s">
        <v>1703</v>
      </c>
      <c r="G454" s="1034"/>
      <c r="H454" s="137" t="s">
        <v>411</v>
      </c>
      <c r="I454" s="136">
        <v>1</v>
      </c>
      <c r="J454" s="136">
        <v>110.11</v>
      </c>
      <c r="K454" s="138">
        <f t="shared" ref="K454:K457" si="44">I454*J454</f>
        <v>110.11</v>
      </c>
    </row>
    <row r="455" spans="1:11">
      <c r="A455" s="136" t="s">
        <v>1208</v>
      </c>
      <c r="B455" s="137" t="s">
        <v>1705</v>
      </c>
      <c r="C455" s="137" t="s">
        <v>698</v>
      </c>
      <c r="D455" s="137">
        <v>88248</v>
      </c>
      <c r="E455" s="136" t="s">
        <v>505</v>
      </c>
      <c r="F455" s="1033" t="s">
        <v>1706</v>
      </c>
      <c r="G455" s="1034"/>
      <c r="H455" s="137" t="s">
        <v>412</v>
      </c>
      <c r="I455" s="136">
        <v>0.38400000000000001</v>
      </c>
      <c r="J455" s="136">
        <v>26.14</v>
      </c>
      <c r="K455" s="138">
        <f t="shared" si="44"/>
        <v>10.03776</v>
      </c>
    </row>
    <row r="456" spans="1:11">
      <c r="A456" s="136" t="s">
        <v>1208</v>
      </c>
      <c r="B456" s="137" t="s">
        <v>1705</v>
      </c>
      <c r="C456" s="137" t="s">
        <v>698</v>
      </c>
      <c r="D456" s="137">
        <v>88267</v>
      </c>
      <c r="E456" s="136" t="s">
        <v>506</v>
      </c>
      <c r="F456" s="1033" t="s">
        <v>1706</v>
      </c>
      <c r="G456" s="1034"/>
      <c r="H456" s="137" t="s">
        <v>412</v>
      </c>
      <c r="I456" s="136">
        <v>0.38400000000000001</v>
      </c>
      <c r="J456" s="136">
        <v>32.130000000000003</v>
      </c>
      <c r="K456" s="138">
        <f t="shared" si="44"/>
        <v>12.33792</v>
      </c>
    </row>
    <row r="457" spans="1:11">
      <c r="A457" s="136" t="s">
        <v>1208</v>
      </c>
      <c r="B457" s="137" t="s">
        <v>1705</v>
      </c>
      <c r="C457" s="137" t="s">
        <v>698</v>
      </c>
      <c r="D457" s="137">
        <v>88317</v>
      </c>
      <c r="E457" s="136" t="s">
        <v>416</v>
      </c>
      <c r="F457" s="1033" t="s">
        <v>1706</v>
      </c>
      <c r="G457" s="1034"/>
      <c r="H457" s="137" t="s">
        <v>412</v>
      </c>
      <c r="I457" s="136">
        <v>0.38400000000000001</v>
      </c>
      <c r="J457" s="136">
        <v>35.909999999999997</v>
      </c>
      <c r="K457" s="138">
        <f t="shared" si="44"/>
        <v>13.789439999999999</v>
      </c>
    </row>
    <row r="458" spans="1:11">
      <c r="A458" s="139"/>
      <c r="E458" s="139"/>
      <c r="F458" s="139"/>
      <c r="I458" s="139"/>
      <c r="J458" s="139"/>
      <c r="K458" s="140"/>
    </row>
    <row r="459" spans="1:11">
      <c r="A459" s="128"/>
      <c r="B459" s="129" t="s">
        <v>1691</v>
      </c>
      <c r="C459" s="129" t="s">
        <v>1692</v>
      </c>
      <c r="D459" s="129" t="s">
        <v>1693</v>
      </c>
      <c r="E459" s="130" t="s">
        <v>0</v>
      </c>
      <c r="F459" s="130" t="s">
        <v>1694</v>
      </c>
      <c r="G459" s="129"/>
      <c r="H459" s="129" t="s">
        <v>1695</v>
      </c>
      <c r="I459" s="130" t="s">
        <v>1696</v>
      </c>
      <c r="J459" s="130" t="s">
        <v>1697</v>
      </c>
      <c r="K459" s="131" t="s">
        <v>1698</v>
      </c>
    </row>
    <row r="460" spans="1:11" ht="50.1" customHeight="1">
      <c r="A460" s="132" t="s">
        <v>1808</v>
      </c>
      <c r="B460" s="133" t="s">
        <v>1700</v>
      </c>
      <c r="C460" s="133" t="s">
        <v>698</v>
      </c>
      <c r="D460" s="133">
        <v>97493</v>
      </c>
      <c r="E460" s="134" t="s">
        <v>572</v>
      </c>
      <c r="F460" s="134" t="s">
        <v>516</v>
      </c>
      <c r="G460" s="133"/>
      <c r="H460" s="133" t="s">
        <v>411</v>
      </c>
      <c r="I460" s="134"/>
      <c r="J460" s="146"/>
      <c r="K460" s="135">
        <f>SUM(K461:K465)</f>
        <v>190.84108000000001</v>
      </c>
    </row>
    <row r="461" spans="1:11">
      <c r="A461" s="136" t="s">
        <v>1208</v>
      </c>
      <c r="B461" s="137" t="s">
        <v>792</v>
      </c>
      <c r="C461" s="137" t="s">
        <v>698</v>
      </c>
      <c r="D461" s="137">
        <v>11002</v>
      </c>
      <c r="E461" s="136" t="s">
        <v>464</v>
      </c>
      <c r="F461" s="1033" t="s">
        <v>1703</v>
      </c>
      <c r="G461" s="1034"/>
      <c r="H461" s="137" t="s">
        <v>415</v>
      </c>
      <c r="I461" s="136">
        <v>4.3999999999999997E-2</v>
      </c>
      <c r="J461" s="136">
        <v>48.97</v>
      </c>
      <c r="K461" s="138">
        <f>I461*J461</f>
        <v>2.1546799999999999</v>
      </c>
    </row>
    <row r="462" spans="1:11">
      <c r="A462" s="136" t="s">
        <v>1208</v>
      </c>
      <c r="B462" s="137" t="s">
        <v>792</v>
      </c>
      <c r="C462" s="137" t="s">
        <v>698</v>
      </c>
      <c r="D462" s="137">
        <v>40396</v>
      </c>
      <c r="E462" s="136" t="s">
        <v>573</v>
      </c>
      <c r="F462" s="1033" t="s">
        <v>1703</v>
      </c>
      <c r="G462" s="1034"/>
      <c r="H462" s="137" t="s">
        <v>411</v>
      </c>
      <c r="I462" s="136">
        <v>1</v>
      </c>
      <c r="J462" s="136">
        <v>143.47999999999999</v>
      </c>
      <c r="K462" s="138">
        <f t="shared" ref="K462:K465" si="45">I462*J462</f>
        <v>143.47999999999999</v>
      </c>
    </row>
    <row r="463" spans="1:11">
      <c r="A463" s="136" t="s">
        <v>1208</v>
      </c>
      <c r="B463" s="137" t="s">
        <v>1705</v>
      </c>
      <c r="C463" s="137" t="s">
        <v>698</v>
      </c>
      <c r="D463" s="137">
        <v>88248</v>
      </c>
      <c r="E463" s="136" t="s">
        <v>505</v>
      </c>
      <c r="F463" s="1033" t="s">
        <v>1706</v>
      </c>
      <c r="G463" s="1034"/>
      <c r="H463" s="137" t="s">
        <v>412</v>
      </c>
      <c r="I463" s="136">
        <v>0.48</v>
      </c>
      <c r="J463" s="136">
        <v>26.14</v>
      </c>
      <c r="K463" s="138">
        <f t="shared" si="45"/>
        <v>12.5472</v>
      </c>
    </row>
    <row r="464" spans="1:11">
      <c r="A464" s="136" t="s">
        <v>1208</v>
      </c>
      <c r="B464" s="137" t="s">
        <v>1705</v>
      </c>
      <c r="C464" s="137" t="s">
        <v>698</v>
      </c>
      <c r="D464" s="137">
        <v>88267</v>
      </c>
      <c r="E464" s="136" t="s">
        <v>506</v>
      </c>
      <c r="F464" s="1033" t="s">
        <v>1706</v>
      </c>
      <c r="G464" s="1034"/>
      <c r="H464" s="137" t="s">
        <v>412</v>
      </c>
      <c r="I464" s="136">
        <v>0.48</v>
      </c>
      <c r="J464" s="136">
        <v>32.130000000000003</v>
      </c>
      <c r="K464" s="138">
        <f t="shared" si="45"/>
        <v>15.422400000000001</v>
      </c>
    </row>
    <row r="465" spans="1:11">
      <c r="A465" s="136" t="s">
        <v>1208</v>
      </c>
      <c r="B465" s="137" t="s">
        <v>1705</v>
      </c>
      <c r="C465" s="137" t="s">
        <v>698</v>
      </c>
      <c r="D465" s="137">
        <v>88317</v>
      </c>
      <c r="E465" s="136" t="s">
        <v>416</v>
      </c>
      <c r="F465" s="1033" t="s">
        <v>1706</v>
      </c>
      <c r="G465" s="1034"/>
      <c r="H465" s="137" t="s">
        <v>412</v>
      </c>
      <c r="I465" s="136">
        <v>0.48</v>
      </c>
      <c r="J465" s="136">
        <v>35.909999999999997</v>
      </c>
      <c r="K465" s="138">
        <f t="shared" si="45"/>
        <v>17.236799999999999</v>
      </c>
    </row>
    <row r="466" spans="1:11">
      <c r="A466" s="139"/>
      <c r="E466" s="139"/>
      <c r="F466" s="139"/>
      <c r="I466" s="139"/>
      <c r="J466" s="139"/>
      <c r="K466" s="140"/>
    </row>
    <row r="467" spans="1:11">
      <c r="A467" s="128"/>
      <c r="B467" s="129" t="s">
        <v>1691</v>
      </c>
      <c r="C467" s="129" t="s">
        <v>1692</v>
      </c>
      <c r="D467" s="129" t="s">
        <v>1693</v>
      </c>
      <c r="E467" s="130" t="s">
        <v>0</v>
      </c>
      <c r="F467" s="130" t="s">
        <v>1694</v>
      </c>
      <c r="G467" s="129"/>
      <c r="H467" s="129" t="s">
        <v>1695</v>
      </c>
      <c r="I467" s="130" t="s">
        <v>1696</v>
      </c>
      <c r="J467" s="130" t="s">
        <v>1697</v>
      </c>
      <c r="K467" s="131" t="s">
        <v>1698</v>
      </c>
    </row>
    <row r="468" spans="1:11" ht="50.1" customHeight="1">
      <c r="A468" s="132" t="s">
        <v>1809</v>
      </c>
      <c r="B468" s="133" t="s">
        <v>1700</v>
      </c>
      <c r="C468" s="133" t="s">
        <v>698</v>
      </c>
      <c r="D468" s="133">
        <v>97458</v>
      </c>
      <c r="E468" s="134" t="s">
        <v>564</v>
      </c>
      <c r="F468" s="134" t="s">
        <v>516</v>
      </c>
      <c r="G468" s="133"/>
      <c r="H468" s="133" t="s">
        <v>411</v>
      </c>
      <c r="I468" s="134"/>
      <c r="J468" s="146"/>
      <c r="K468" s="135">
        <f>SUM(K469:K473)</f>
        <v>334.87118999999996</v>
      </c>
    </row>
    <row r="469" spans="1:11">
      <c r="A469" s="136" t="s">
        <v>1208</v>
      </c>
      <c r="B469" s="137" t="s">
        <v>792</v>
      </c>
      <c r="C469" s="137" t="s">
        <v>698</v>
      </c>
      <c r="D469" s="137">
        <v>11002</v>
      </c>
      <c r="E469" s="136" t="s">
        <v>464</v>
      </c>
      <c r="F469" s="1033" t="s">
        <v>1703</v>
      </c>
      <c r="G469" s="1034"/>
      <c r="H469" s="137" t="s">
        <v>415</v>
      </c>
      <c r="I469" s="136">
        <v>5.8999999999999997E-2</v>
      </c>
      <c r="J469" s="136">
        <v>48.97</v>
      </c>
      <c r="K469" s="138">
        <f>I469*J469</f>
        <v>2.88923</v>
      </c>
    </row>
    <row r="470" spans="1:11">
      <c r="A470" s="136" t="s">
        <v>1208</v>
      </c>
      <c r="B470" s="137" t="s">
        <v>792</v>
      </c>
      <c r="C470" s="137" t="s">
        <v>698</v>
      </c>
      <c r="D470" s="137">
        <v>40397</v>
      </c>
      <c r="E470" s="136" t="s">
        <v>565</v>
      </c>
      <c r="F470" s="1033" t="s">
        <v>1703</v>
      </c>
      <c r="G470" s="1034"/>
      <c r="H470" s="137" t="s">
        <v>411</v>
      </c>
      <c r="I470" s="136">
        <v>1</v>
      </c>
      <c r="J470" s="136">
        <v>235.73</v>
      </c>
      <c r="K470" s="138">
        <f t="shared" ref="K470:K473" si="46">I470*J470</f>
        <v>235.73</v>
      </c>
    </row>
    <row r="471" spans="1:11">
      <c r="A471" s="136" t="s">
        <v>1208</v>
      </c>
      <c r="B471" s="137" t="s">
        <v>1705</v>
      </c>
      <c r="C471" s="137" t="s">
        <v>698</v>
      </c>
      <c r="D471" s="137">
        <v>88248</v>
      </c>
      <c r="E471" s="136" t="s">
        <v>505</v>
      </c>
      <c r="F471" s="1033" t="s">
        <v>1706</v>
      </c>
      <c r="G471" s="1034"/>
      <c r="H471" s="137" t="s">
        <v>412</v>
      </c>
      <c r="I471" s="136">
        <v>1.022</v>
      </c>
      <c r="J471" s="136">
        <v>26.14</v>
      </c>
      <c r="K471" s="138">
        <f t="shared" si="46"/>
        <v>26.71508</v>
      </c>
    </row>
    <row r="472" spans="1:11">
      <c r="A472" s="136" t="s">
        <v>1208</v>
      </c>
      <c r="B472" s="137" t="s">
        <v>1705</v>
      </c>
      <c r="C472" s="137" t="s">
        <v>698</v>
      </c>
      <c r="D472" s="137">
        <v>88267</v>
      </c>
      <c r="E472" s="136" t="s">
        <v>506</v>
      </c>
      <c r="F472" s="1033" t="s">
        <v>1706</v>
      </c>
      <c r="G472" s="1034"/>
      <c r="H472" s="137" t="s">
        <v>412</v>
      </c>
      <c r="I472" s="136">
        <v>1.022</v>
      </c>
      <c r="J472" s="136">
        <v>32.130000000000003</v>
      </c>
      <c r="K472" s="138">
        <f t="shared" si="46"/>
        <v>32.836860000000001</v>
      </c>
    </row>
    <row r="473" spans="1:11">
      <c r="A473" s="136" t="s">
        <v>1208</v>
      </c>
      <c r="B473" s="137" t="s">
        <v>1705</v>
      </c>
      <c r="C473" s="137" t="s">
        <v>698</v>
      </c>
      <c r="D473" s="137">
        <v>88317</v>
      </c>
      <c r="E473" s="136" t="s">
        <v>416</v>
      </c>
      <c r="F473" s="1033" t="s">
        <v>1706</v>
      </c>
      <c r="G473" s="1034"/>
      <c r="H473" s="137" t="s">
        <v>412</v>
      </c>
      <c r="I473" s="136">
        <v>1.022</v>
      </c>
      <c r="J473" s="136">
        <v>35.909999999999997</v>
      </c>
      <c r="K473" s="138">
        <f t="shared" si="46"/>
        <v>36.700019999999995</v>
      </c>
    </row>
    <row r="474" spans="1:11">
      <c r="A474" s="139"/>
      <c r="E474" s="139"/>
      <c r="F474" s="139"/>
      <c r="I474" s="139"/>
      <c r="J474" s="139"/>
      <c r="K474" s="140"/>
    </row>
    <row r="475" spans="1:11">
      <c r="A475" s="128"/>
      <c r="B475" s="129" t="s">
        <v>1691</v>
      </c>
      <c r="C475" s="129" t="s">
        <v>1692</v>
      </c>
      <c r="D475" s="129" t="s">
        <v>1693</v>
      </c>
      <c r="E475" s="130" t="s">
        <v>0</v>
      </c>
      <c r="F475" s="130" t="s">
        <v>1694</v>
      </c>
      <c r="G475" s="129"/>
      <c r="H475" s="129" t="s">
        <v>1695</v>
      </c>
      <c r="I475" s="130" t="s">
        <v>1696</v>
      </c>
      <c r="J475" s="130" t="s">
        <v>1697</v>
      </c>
      <c r="K475" s="131" t="s">
        <v>1698</v>
      </c>
    </row>
    <row r="476" spans="1:11" ht="50.1" customHeight="1">
      <c r="A476" s="132" t="s">
        <v>1810</v>
      </c>
      <c r="B476" s="133" t="s">
        <v>1700</v>
      </c>
      <c r="C476" s="133" t="s">
        <v>698</v>
      </c>
      <c r="D476" s="133">
        <v>97459</v>
      </c>
      <c r="E476" s="134" t="s">
        <v>566</v>
      </c>
      <c r="F476" s="134" t="s">
        <v>516</v>
      </c>
      <c r="G476" s="133"/>
      <c r="H476" s="133" t="s">
        <v>411</v>
      </c>
      <c r="I476" s="134"/>
      <c r="J476" s="146"/>
      <c r="K476" s="135">
        <f>SUM(K477:K481)</f>
        <v>571.78354999999999</v>
      </c>
    </row>
    <row r="477" spans="1:11">
      <c r="A477" s="136" t="s">
        <v>1208</v>
      </c>
      <c r="B477" s="137" t="s">
        <v>792</v>
      </c>
      <c r="C477" s="137" t="s">
        <v>698</v>
      </c>
      <c r="D477" s="137">
        <v>11002</v>
      </c>
      <c r="E477" s="136" t="s">
        <v>464</v>
      </c>
      <c r="F477" s="1033" t="s">
        <v>1703</v>
      </c>
      <c r="G477" s="1034"/>
      <c r="H477" s="137" t="s">
        <v>415</v>
      </c>
      <c r="I477" s="136">
        <v>0.10100000000000001</v>
      </c>
      <c r="J477" s="136">
        <v>48.97</v>
      </c>
      <c r="K477" s="138">
        <f>J477*I477</f>
        <v>4.94597</v>
      </c>
    </row>
    <row r="478" spans="1:11">
      <c r="A478" s="136" t="s">
        <v>1208</v>
      </c>
      <c r="B478" s="137" t="s">
        <v>792</v>
      </c>
      <c r="C478" s="137" t="s">
        <v>698</v>
      </c>
      <c r="D478" s="137">
        <v>40398</v>
      </c>
      <c r="E478" s="136" t="s">
        <v>567</v>
      </c>
      <c r="F478" s="1033" t="s">
        <v>1703</v>
      </c>
      <c r="G478" s="1034"/>
      <c r="H478" s="137" t="s">
        <v>411</v>
      </c>
      <c r="I478" s="136">
        <v>1</v>
      </c>
      <c r="J478" s="136">
        <v>460.32</v>
      </c>
      <c r="K478" s="138">
        <f t="shared" ref="K478:K481" si="47">J478*I478</f>
        <v>460.32</v>
      </c>
    </row>
    <row r="479" spans="1:11">
      <c r="A479" s="136" t="s">
        <v>1208</v>
      </c>
      <c r="B479" s="137" t="s">
        <v>1705</v>
      </c>
      <c r="C479" s="137" t="s">
        <v>698</v>
      </c>
      <c r="D479" s="137">
        <v>88248</v>
      </c>
      <c r="E479" s="136" t="s">
        <v>505</v>
      </c>
      <c r="F479" s="1033" t="s">
        <v>1706</v>
      </c>
      <c r="G479" s="1034"/>
      <c r="H479" s="137" t="s">
        <v>412</v>
      </c>
      <c r="I479" s="136">
        <v>1.131</v>
      </c>
      <c r="J479" s="136">
        <v>26.14</v>
      </c>
      <c r="K479" s="138">
        <f t="shared" si="47"/>
        <v>29.564340000000001</v>
      </c>
    </row>
    <row r="480" spans="1:11">
      <c r="A480" s="136" t="s">
        <v>1208</v>
      </c>
      <c r="B480" s="137" t="s">
        <v>1705</v>
      </c>
      <c r="C480" s="137" t="s">
        <v>698</v>
      </c>
      <c r="D480" s="137">
        <v>88267</v>
      </c>
      <c r="E480" s="136" t="s">
        <v>506</v>
      </c>
      <c r="F480" s="1033" t="s">
        <v>1706</v>
      </c>
      <c r="G480" s="1034"/>
      <c r="H480" s="137" t="s">
        <v>412</v>
      </c>
      <c r="I480" s="136">
        <v>1.131</v>
      </c>
      <c r="J480" s="136">
        <v>32.130000000000003</v>
      </c>
      <c r="K480" s="138">
        <f t="shared" si="47"/>
        <v>36.339030000000001</v>
      </c>
    </row>
    <row r="481" spans="1:11">
      <c r="A481" s="136" t="s">
        <v>1208</v>
      </c>
      <c r="B481" s="137" t="s">
        <v>1705</v>
      </c>
      <c r="C481" s="137" t="s">
        <v>698</v>
      </c>
      <c r="D481" s="137">
        <v>88317</v>
      </c>
      <c r="E481" s="136" t="s">
        <v>416</v>
      </c>
      <c r="F481" s="1033" t="s">
        <v>1706</v>
      </c>
      <c r="G481" s="1034"/>
      <c r="H481" s="137" t="s">
        <v>412</v>
      </c>
      <c r="I481" s="136">
        <v>1.131</v>
      </c>
      <c r="J481" s="136">
        <v>35.909999999999997</v>
      </c>
      <c r="K481" s="138">
        <f t="shared" si="47"/>
        <v>40.614209999999993</v>
      </c>
    </row>
    <row r="482" spans="1:11">
      <c r="A482" s="139"/>
      <c r="E482" s="139"/>
      <c r="F482" s="139"/>
      <c r="I482" s="139"/>
      <c r="J482" s="139"/>
      <c r="K482" s="140"/>
    </row>
    <row r="483" spans="1:11">
      <c r="A483" s="128"/>
      <c r="B483" s="129" t="s">
        <v>1691</v>
      </c>
      <c r="C483" s="129" t="s">
        <v>1692</v>
      </c>
      <c r="D483" s="129" t="s">
        <v>1693</v>
      </c>
      <c r="E483" s="130" t="s">
        <v>0</v>
      </c>
      <c r="F483" s="130" t="s">
        <v>1694</v>
      </c>
      <c r="G483" s="129"/>
      <c r="H483" s="129" t="s">
        <v>1695</v>
      </c>
      <c r="I483" s="130" t="s">
        <v>1696</v>
      </c>
      <c r="J483" s="130" t="s">
        <v>1697</v>
      </c>
      <c r="K483" s="131" t="s">
        <v>1698</v>
      </c>
    </row>
    <row r="484" spans="1:11" ht="50.1" customHeight="1">
      <c r="A484" s="132" t="s">
        <v>1811</v>
      </c>
      <c r="B484" s="133" t="s">
        <v>1700</v>
      </c>
      <c r="C484" s="133" t="s">
        <v>698</v>
      </c>
      <c r="D484" s="133">
        <v>96636</v>
      </c>
      <c r="E484" s="134" t="s">
        <v>536</v>
      </c>
      <c r="F484" s="134" t="s">
        <v>516</v>
      </c>
      <c r="G484" s="133"/>
      <c r="H484" s="133" t="s">
        <v>405</v>
      </c>
      <c r="I484" s="134"/>
      <c r="J484" s="146"/>
      <c r="K484" s="135">
        <f>SUM(K485:K489)</f>
        <v>46.695845999999996</v>
      </c>
    </row>
    <row r="485" spans="1:11">
      <c r="A485" s="136" t="s">
        <v>1208</v>
      </c>
      <c r="B485" s="137" t="s">
        <v>792</v>
      </c>
      <c r="C485" s="137" t="s">
        <v>698</v>
      </c>
      <c r="D485" s="137">
        <v>38979</v>
      </c>
      <c r="E485" s="136" t="s">
        <v>1812</v>
      </c>
      <c r="F485" s="1033" t="s">
        <v>1703</v>
      </c>
      <c r="G485" s="1034"/>
      <c r="H485" s="137" t="s">
        <v>405</v>
      </c>
      <c r="I485" s="858">
        <v>1.0667</v>
      </c>
      <c r="J485" s="136">
        <v>13.17</v>
      </c>
      <c r="K485" s="138">
        <f>I485*J485</f>
        <v>14.048439</v>
      </c>
    </row>
    <row r="486" spans="1:11">
      <c r="A486" s="136" t="s">
        <v>1208</v>
      </c>
      <c r="B486" s="137" t="s">
        <v>1705</v>
      </c>
      <c r="C486" s="137" t="s">
        <v>698</v>
      </c>
      <c r="D486" s="137">
        <v>88248</v>
      </c>
      <c r="E486" s="136" t="s">
        <v>505</v>
      </c>
      <c r="F486" s="1033" t="s">
        <v>1706</v>
      </c>
      <c r="G486" s="1034"/>
      <c r="H486" s="137" t="s">
        <v>412</v>
      </c>
      <c r="I486" s="858">
        <v>0.55389999999999995</v>
      </c>
      <c r="J486" s="136">
        <v>26.14</v>
      </c>
      <c r="K486" s="138">
        <f t="shared" ref="K486:K489" si="48">I486*J486</f>
        <v>14.478945999999999</v>
      </c>
    </row>
    <row r="487" spans="1:11">
      <c r="A487" s="136" t="s">
        <v>1208</v>
      </c>
      <c r="B487" s="137" t="s">
        <v>1705</v>
      </c>
      <c r="C487" s="137" t="s">
        <v>698</v>
      </c>
      <c r="D487" s="137">
        <v>88267</v>
      </c>
      <c r="E487" s="136" t="s">
        <v>506</v>
      </c>
      <c r="F487" s="1033" t="s">
        <v>1706</v>
      </c>
      <c r="G487" s="1034"/>
      <c r="H487" s="137" t="s">
        <v>412</v>
      </c>
      <c r="I487" s="858">
        <v>0.55389999999999995</v>
      </c>
      <c r="J487" s="136">
        <v>32.130000000000003</v>
      </c>
      <c r="K487" s="138">
        <f t="shared" si="48"/>
        <v>17.796807000000001</v>
      </c>
    </row>
    <row r="488" spans="1:11" ht="24.75">
      <c r="A488" s="856"/>
      <c r="B488" s="857" t="s">
        <v>1705</v>
      </c>
      <c r="C488" s="857" t="s">
        <v>698</v>
      </c>
      <c r="D488" s="857">
        <v>104091</v>
      </c>
      <c r="E488" s="856" t="s">
        <v>2505</v>
      </c>
      <c r="F488" s="1033" t="s">
        <v>1737</v>
      </c>
      <c r="G488" s="1034"/>
      <c r="H488" s="857" t="s">
        <v>408</v>
      </c>
      <c r="I488" s="858">
        <v>0.37930000000000003</v>
      </c>
      <c r="J488" s="856">
        <v>0.92</v>
      </c>
      <c r="K488" s="138">
        <f t="shared" si="48"/>
        <v>0.34895600000000004</v>
      </c>
    </row>
    <row r="489" spans="1:11" ht="24.75">
      <c r="A489" s="856"/>
      <c r="B489" s="857" t="s">
        <v>1705</v>
      </c>
      <c r="C489" s="857" t="s">
        <v>698</v>
      </c>
      <c r="D489" s="857">
        <v>104092</v>
      </c>
      <c r="E489" s="856" t="s">
        <v>2506</v>
      </c>
      <c r="F489" s="1033" t="s">
        <v>1737</v>
      </c>
      <c r="G489" s="1034"/>
      <c r="H489" s="857" t="s">
        <v>408</v>
      </c>
      <c r="I489" s="858">
        <v>0.17460000000000001</v>
      </c>
      <c r="J489" s="856">
        <v>0.13</v>
      </c>
      <c r="K489" s="138">
        <f t="shared" si="48"/>
        <v>2.2698000000000003E-2</v>
      </c>
    </row>
    <row r="490" spans="1:11">
      <c r="A490" s="139"/>
      <c r="E490" s="139"/>
      <c r="F490" s="139"/>
      <c r="I490" s="139"/>
      <c r="J490" s="139"/>
      <c r="K490" s="140"/>
    </row>
    <row r="491" spans="1:11">
      <c r="A491" s="128"/>
      <c r="B491" s="129" t="s">
        <v>1691</v>
      </c>
      <c r="C491" s="129" t="s">
        <v>1692</v>
      </c>
      <c r="D491" s="129" t="s">
        <v>1693</v>
      </c>
      <c r="E491" s="130" t="s">
        <v>0</v>
      </c>
      <c r="F491" s="130" t="s">
        <v>1694</v>
      </c>
      <c r="G491" s="129"/>
      <c r="H491" s="129" t="s">
        <v>1695</v>
      </c>
      <c r="I491" s="130" t="s">
        <v>1696</v>
      </c>
      <c r="J491" s="130" t="s">
        <v>1697</v>
      </c>
      <c r="K491" s="131" t="s">
        <v>1698</v>
      </c>
    </row>
    <row r="492" spans="1:11" ht="50.1" customHeight="1">
      <c r="A492" s="132" t="s">
        <v>1813</v>
      </c>
      <c r="B492" s="133" t="s">
        <v>1700</v>
      </c>
      <c r="C492" s="133" t="s">
        <v>698</v>
      </c>
      <c r="D492" s="133">
        <v>96650</v>
      </c>
      <c r="E492" s="134" t="s">
        <v>560</v>
      </c>
      <c r="F492" s="134" t="s">
        <v>516</v>
      </c>
      <c r="G492" s="133"/>
      <c r="H492" s="133" t="s">
        <v>411</v>
      </c>
      <c r="I492" s="134"/>
      <c r="J492" s="146"/>
      <c r="K492" s="135">
        <f>SUM(K493:K496)</f>
        <v>10.929507000000003</v>
      </c>
    </row>
    <row r="493" spans="1:11">
      <c r="A493" s="136" t="s">
        <v>1208</v>
      </c>
      <c r="B493" s="137" t="s">
        <v>792</v>
      </c>
      <c r="C493" s="137" t="s">
        <v>698</v>
      </c>
      <c r="D493" s="137">
        <v>36360</v>
      </c>
      <c r="E493" s="136" t="s">
        <v>1814</v>
      </c>
      <c r="F493" s="1033" t="s">
        <v>1703</v>
      </c>
      <c r="G493" s="1034"/>
      <c r="H493" s="137" t="s">
        <v>411</v>
      </c>
      <c r="I493" s="136">
        <v>1</v>
      </c>
      <c r="J493" s="136">
        <v>3.62</v>
      </c>
      <c r="K493" s="138">
        <f>I493*J493</f>
        <v>3.62</v>
      </c>
    </row>
    <row r="494" spans="1:11">
      <c r="A494" s="136" t="s">
        <v>1208</v>
      </c>
      <c r="B494" s="137" t="s">
        <v>1705</v>
      </c>
      <c r="C494" s="137" t="s">
        <v>698</v>
      </c>
      <c r="D494" s="137">
        <v>88248</v>
      </c>
      <c r="E494" s="136" t="s">
        <v>505</v>
      </c>
      <c r="F494" s="1033" t="s">
        <v>1706</v>
      </c>
      <c r="G494" s="1034"/>
      <c r="H494" s="137" t="s">
        <v>412</v>
      </c>
      <c r="I494" s="136">
        <v>0.1241</v>
      </c>
      <c r="J494" s="136">
        <v>26.14</v>
      </c>
      <c r="K494" s="138">
        <f t="shared" ref="K494:K496" si="49">I494*J494</f>
        <v>3.2439740000000001</v>
      </c>
    </row>
    <row r="495" spans="1:11">
      <c r="A495" s="136" t="s">
        <v>1208</v>
      </c>
      <c r="D495" s="137">
        <v>88267</v>
      </c>
      <c r="E495" s="136" t="s">
        <v>506</v>
      </c>
      <c r="F495" s="1033" t="s">
        <v>1706</v>
      </c>
      <c r="G495" s="1034"/>
      <c r="H495" s="137" t="s">
        <v>412</v>
      </c>
      <c r="I495" s="136">
        <v>0.1241</v>
      </c>
      <c r="J495" s="136">
        <v>32.130000000000003</v>
      </c>
      <c r="K495" s="138">
        <f t="shared" si="49"/>
        <v>3.9873330000000005</v>
      </c>
    </row>
    <row r="496" spans="1:11" ht="24.75">
      <c r="A496" s="856"/>
      <c r="B496" s="137" t="s">
        <v>1705</v>
      </c>
      <c r="C496" s="137" t="s">
        <v>698</v>
      </c>
      <c r="D496" s="857">
        <v>104091</v>
      </c>
      <c r="E496" s="856" t="s">
        <v>2505</v>
      </c>
      <c r="F496" s="1033" t="s">
        <v>1737</v>
      </c>
      <c r="G496" s="1034"/>
      <c r="H496" s="857" t="s">
        <v>408</v>
      </c>
      <c r="I496" s="858">
        <v>8.5000000000000006E-2</v>
      </c>
      <c r="J496" s="856">
        <v>0.92</v>
      </c>
      <c r="K496" s="138">
        <f t="shared" si="49"/>
        <v>7.8200000000000006E-2</v>
      </c>
    </row>
    <row r="497" spans="1:11">
      <c r="A497" s="139"/>
      <c r="E497" s="139"/>
      <c r="F497" s="139"/>
      <c r="I497" s="139"/>
      <c r="J497" s="139"/>
      <c r="K497" s="140"/>
    </row>
    <row r="498" spans="1:11">
      <c r="A498" s="128"/>
      <c r="B498" s="129" t="s">
        <v>1691</v>
      </c>
      <c r="C498" s="129" t="s">
        <v>1692</v>
      </c>
      <c r="D498" s="129" t="s">
        <v>1693</v>
      </c>
      <c r="E498" s="130" t="s">
        <v>0</v>
      </c>
      <c r="F498" s="130" t="s">
        <v>1694</v>
      </c>
      <c r="G498" s="129"/>
      <c r="H498" s="129" t="s">
        <v>1695</v>
      </c>
      <c r="I498" s="130" t="s">
        <v>1696</v>
      </c>
      <c r="J498" s="130" t="s">
        <v>1697</v>
      </c>
      <c r="K498" s="131" t="s">
        <v>1698</v>
      </c>
    </row>
    <row r="499" spans="1:11" ht="50.1" customHeight="1">
      <c r="A499" s="132" t="s">
        <v>1815</v>
      </c>
      <c r="B499" s="133" t="s">
        <v>1700</v>
      </c>
      <c r="C499" s="133" t="s">
        <v>698</v>
      </c>
      <c r="D499" s="133">
        <v>96665</v>
      </c>
      <c r="E499" s="134" t="s">
        <v>561</v>
      </c>
      <c r="F499" s="134" t="s">
        <v>516</v>
      </c>
      <c r="G499" s="133"/>
      <c r="H499" s="133" t="s">
        <v>411</v>
      </c>
      <c r="I499" s="134"/>
      <c r="J499" s="146"/>
      <c r="K499" s="135">
        <f>SUM(K500:K503)</f>
        <v>14.382094000000002</v>
      </c>
    </row>
    <row r="500" spans="1:11">
      <c r="A500" s="136" t="s">
        <v>1208</v>
      </c>
      <c r="B500" s="137" t="s">
        <v>792</v>
      </c>
      <c r="C500" s="137" t="s">
        <v>698</v>
      </c>
      <c r="D500" s="137">
        <v>36298</v>
      </c>
      <c r="E500" s="136" t="s">
        <v>1816</v>
      </c>
      <c r="F500" s="1033" t="s">
        <v>1703</v>
      </c>
      <c r="G500" s="1034"/>
      <c r="H500" s="137" t="s">
        <v>411</v>
      </c>
      <c r="I500" s="136">
        <v>1</v>
      </c>
      <c r="J500" s="136">
        <v>4.6399999999999997</v>
      </c>
      <c r="K500" s="138">
        <f>I500*J500</f>
        <v>4.6399999999999997</v>
      </c>
    </row>
    <row r="501" spans="1:11">
      <c r="A501" s="136" t="s">
        <v>1208</v>
      </c>
      <c r="B501" s="137" t="s">
        <v>1705</v>
      </c>
      <c r="C501" s="137" t="s">
        <v>698</v>
      </c>
      <c r="D501" s="137">
        <v>88248</v>
      </c>
      <c r="E501" s="136" t="s">
        <v>505</v>
      </c>
      <c r="F501" s="1033" t="s">
        <v>1706</v>
      </c>
      <c r="G501" s="1034"/>
      <c r="H501" s="137" t="s">
        <v>412</v>
      </c>
      <c r="I501" s="136">
        <v>0.16539999999999999</v>
      </c>
      <c r="J501" s="136">
        <v>26.14</v>
      </c>
      <c r="K501" s="138">
        <f t="shared" ref="K501:K503" si="50">I501*J501</f>
        <v>4.323556</v>
      </c>
    </row>
    <row r="502" spans="1:11">
      <c r="A502" s="136" t="s">
        <v>1208</v>
      </c>
      <c r="B502" s="137" t="s">
        <v>1705</v>
      </c>
      <c r="C502" s="137" t="s">
        <v>698</v>
      </c>
      <c r="D502" s="137">
        <v>88267</v>
      </c>
      <c r="E502" s="136" t="s">
        <v>506</v>
      </c>
      <c r="F502" s="1033" t="s">
        <v>1706</v>
      </c>
      <c r="G502" s="1034"/>
      <c r="H502" s="137" t="s">
        <v>412</v>
      </c>
      <c r="I502" s="136">
        <v>0.16539999999999999</v>
      </c>
      <c r="J502" s="136">
        <v>32.130000000000003</v>
      </c>
      <c r="K502" s="138">
        <f t="shared" si="50"/>
        <v>5.3143020000000005</v>
      </c>
    </row>
    <row r="503" spans="1:11" ht="24.75">
      <c r="A503" s="856"/>
      <c r="B503" s="857" t="s">
        <v>1705</v>
      </c>
      <c r="C503" s="857" t="s">
        <v>698</v>
      </c>
      <c r="D503" s="857">
        <v>104091</v>
      </c>
      <c r="E503" s="856" t="s">
        <v>2505</v>
      </c>
      <c r="F503" s="1033" t="s">
        <v>1737</v>
      </c>
      <c r="G503" s="1034"/>
      <c r="H503" s="857" t="s">
        <v>408</v>
      </c>
      <c r="I503" s="856">
        <v>0.1133</v>
      </c>
      <c r="J503" s="856">
        <v>0.92</v>
      </c>
      <c r="K503" s="138">
        <f t="shared" si="50"/>
        <v>0.10423600000000001</v>
      </c>
    </row>
    <row r="504" spans="1:11">
      <c r="A504" s="139"/>
      <c r="E504" s="139"/>
      <c r="F504" s="139"/>
      <c r="I504" s="139"/>
      <c r="J504" s="139"/>
      <c r="K504" s="140"/>
    </row>
    <row r="505" spans="1:11">
      <c r="A505" s="128"/>
      <c r="B505" s="129" t="s">
        <v>1691</v>
      </c>
      <c r="C505" s="129" t="s">
        <v>1692</v>
      </c>
      <c r="D505" s="129" t="s">
        <v>1693</v>
      </c>
      <c r="E505" s="130" t="s">
        <v>0</v>
      </c>
      <c r="F505" s="130" t="s">
        <v>1694</v>
      </c>
      <c r="G505" s="129"/>
      <c r="H505" s="129" t="s">
        <v>1695</v>
      </c>
      <c r="I505" s="130" t="s">
        <v>1696</v>
      </c>
      <c r="J505" s="130" t="s">
        <v>1697</v>
      </c>
      <c r="K505" s="131" t="s">
        <v>1698</v>
      </c>
    </row>
    <row r="506" spans="1:11" ht="50.1" customHeight="1">
      <c r="A506" s="132" t="s">
        <v>1817</v>
      </c>
      <c r="B506" s="133" t="s">
        <v>1700</v>
      </c>
      <c r="C506" s="133" t="s">
        <v>698</v>
      </c>
      <c r="D506" s="133">
        <v>96666</v>
      </c>
      <c r="E506" s="134" t="s">
        <v>562</v>
      </c>
      <c r="F506" s="134" t="s">
        <v>516</v>
      </c>
      <c r="G506" s="133"/>
      <c r="H506" s="133" t="s">
        <v>411</v>
      </c>
      <c r="I506" s="134"/>
      <c r="J506" s="146"/>
      <c r="K506" s="135">
        <f>SUM(K507:K510)</f>
        <v>17.808643999999997</v>
      </c>
    </row>
    <row r="507" spans="1:11">
      <c r="A507" s="136" t="s">
        <v>1208</v>
      </c>
      <c r="B507" s="137" t="s">
        <v>792</v>
      </c>
      <c r="C507" s="137" t="s">
        <v>698</v>
      </c>
      <c r="D507" s="137">
        <v>38456</v>
      </c>
      <c r="E507" s="136" t="s">
        <v>1818</v>
      </c>
      <c r="F507" s="1033" t="s">
        <v>1703</v>
      </c>
      <c r="G507" s="1034"/>
      <c r="H507" s="137" t="s">
        <v>411</v>
      </c>
      <c r="I507" s="136">
        <v>1</v>
      </c>
      <c r="J507" s="136">
        <v>7.56</v>
      </c>
      <c r="K507" s="138">
        <f>I507*J507</f>
        <v>7.56</v>
      </c>
    </row>
    <row r="508" spans="1:11">
      <c r="A508" s="136" t="s">
        <v>1208</v>
      </c>
      <c r="B508" s="137" t="s">
        <v>1705</v>
      </c>
      <c r="C508" s="137" t="s">
        <v>698</v>
      </c>
      <c r="D508" s="137">
        <v>88248</v>
      </c>
      <c r="E508" s="136" t="s">
        <v>505</v>
      </c>
      <c r="F508" s="1033" t="s">
        <v>1706</v>
      </c>
      <c r="G508" s="1034"/>
      <c r="H508" s="137" t="s">
        <v>412</v>
      </c>
      <c r="I508" s="136">
        <v>0.17399999999999999</v>
      </c>
      <c r="J508" s="136">
        <v>26.14</v>
      </c>
      <c r="K508" s="138">
        <f t="shared" ref="K508:K510" si="51">I508*J508</f>
        <v>4.5483599999999997</v>
      </c>
    </row>
    <row r="509" spans="1:11">
      <c r="A509" s="136" t="s">
        <v>1208</v>
      </c>
      <c r="B509" s="137" t="s">
        <v>1705</v>
      </c>
      <c r="C509" s="137" t="s">
        <v>698</v>
      </c>
      <c r="D509" s="137">
        <v>88267</v>
      </c>
      <c r="E509" s="136" t="s">
        <v>506</v>
      </c>
      <c r="F509" s="1033" t="s">
        <v>1706</v>
      </c>
      <c r="G509" s="1034"/>
      <c r="H509" s="137" t="s">
        <v>412</v>
      </c>
      <c r="I509" s="136">
        <v>0.17399999999999999</v>
      </c>
      <c r="J509" s="136">
        <v>32.130000000000003</v>
      </c>
      <c r="K509" s="138">
        <f t="shared" si="51"/>
        <v>5.5906200000000004</v>
      </c>
    </row>
    <row r="510" spans="1:11" ht="24.75">
      <c r="A510" s="856"/>
      <c r="B510" s="857" t="s">
        <v>1705</v>
      </c>
      <c r="C510" s="857" t="s">
        <v>698</v>
      </c>
      <c r="D510" s="857">
        <v>104091</v>
      </c>
      <c r="E510" s="856" t="s">
        <v>2505</v>
      </c>
      <c r="F510" s="1033" t="s">
        <v>1737</v>
      </c>
      <c r="G510" s="1034"/>
      <c r="H510" s="857" t="s">
        <v>408</v>
      </c>
      <c r="I510" s="856">
        <v>0.1192</v>
      </c>
      <c r="J510" s="856">
        <v>0.92</v>
      </c>
      <c r="K510" s="138">
        <f t="shared" si="51"/>
        <v>0.10966400000000001</v>
      </c>
    </row>
    <row r="511" spans="1:11">
      <c r="A511" s="139"/>
      <c r="E511" s="139"/>
      <c r="F511" s="139"/>
      <c r="I511" s="139"/>
      <c r="J511" s="139"/>
      <c r="K511" s="140"/>
    </row>
    <row r="512" spans="1:11">
      <c r="A512" s="128"/>
      <c r="B512" s="129" t="s">
        <v>1691</v>
      </c>
      <c r="C512" s="129" t="s">
        <v>1692</v>
      </c>
      <c r="D512" s="129" t="s">
        <v>1693</v>
      </c>
      <c r="E512" s="130" t="s">
        <v>0</v>
      </c>
      <c r="F512" s="130" t="s">
        <v>1694</v>
      </c>
      <c r="G512" s="129"/>
      <c r="H512" s="129" t="s">
        <v>1695</v>
      </c>
      <c r="I512" s="130" t="s">
        <v>1696</v>
      </c>
      <c r="J512" s="130" t="s">
        <v>1697</v>
      </c>
      <c r="K512" s="131" t="s">
        <v>1698</v>
      </c>
    </row>
    <row r="513" spans="1:11" ht="50.1" customHeight="1">
      <c r="A513" s="132" t="s">
        <v>1819</v>
      </c>
      <c r="B513" s="133" t="s">
        <v>1700</v>
      </c>
      <c r="C513" s="133" t="s">
        <v>698</v>
      </c>
      <c r="D513" s="133">
        <v>96640</v>
      </c>
      <c r="E513" s="134" t="s">
        <v>558</v>
      </c>
      <c r="F513" s="134" t="s">
        <v>516</v>
      </c>
      <c r="G513" s="133"/>
      <c r="H513" s="133" t="s">
        <v>411</v>
      </c>
      <c r="I513" s="134"/>
      <c r="J513" s="146"/>
      <c r="K513" s="135">
        <f>SUM(K514:K517)</f>
        <v>28.846512000000001</v>
      </c>
    </row>
    <row r="514" spans="1:11" ht="24.75">
      <c r="A514" s="136" t="s">
        <v>1208</v>
      </c>
      <c r="B514" s="137" t="s">
        <v>792</v>
      </c>
      <c r="C514" s="137" t="s">
        <v>698</v>
      </c>
      <c r="D514" s="137">
        <v>38996</v>
      </c>
      <c r="E514" s="136" t="s">
        <v>559</v>
      </c>
      <c r="F514" s="1033" t="s">
        <v>1703</v>
      </c>
      <c r="G514" s="1034"/>
      <c r="H514" s="137" t="s">
        <v>411</v>
      </c>
      <c r="I514" s="136">
        <v>1</v>
      </c>
      <c r="J514" s="136">
        <v>21.59</v>
      </c>
      <c r="K514" s="138">
        <f>I514*J514</f>
        <v>21.59</v>
      </c>
    </row>
    <row r="515" spans="1:11">
      <c r="A515" s="136" t="s">
        <v>1208</v>
      </c>
      <c r="B515" s="137" t="s">
        <v>1705</v>
      </c>
      <c r="C515" s="137" t="s">
        <v>698</v>
      </c>
      <c r="D515" s="137">
        <v>88248</v>
      </c>
      <c r="E515" s="136" t="s">
        <v>505</v>
      </c>
      <c r="F515" s="1033" t="s">
        <v>1706</v>
      </c>
      <c r="G515" s="1034"/>
      <c r="H515" s="137" t="s">
        <v>412</v>
      </c>
      <c r="I515" s="136">
        <v>0.1232</v>
      </c>
      <c r="J515" s="136">
        <v>26.14</v>
      </c>
      <c r="K515" s="138">
        <f t="shared" ref="K515:K517" si="52">I515*J515</f>
        <v>3.2204480000000002</v>
      </c>
    </row>
    <row r="516" spans="1:11">
      <c r="A516" s="136" t="s">
        <v>1208</v>
      </c>
      <c r="B516" s="137" t="s">
        <v>1705</v>
      </c>
      <c r="C516" s="137" t="s">
        <v>698</v>
      </c>
      <c r="D516" s="137">
        <v>88267</v>
      </c>
      <c r="E516" s="136" t="s">
        <v>506</v>
      </c>
      <c r="F516" s="1033" t="s">
        <v>1706</v>
      </c>
      <c r="G516" s="1034"/>
      <c r="H516" s="137" t="s">
        <v>412</v>
      </c>
      <c r="I516" s="136">
        <v>0.1232</v>
      </c>
      <c r="J516" s="136">
        <v>32.130000000000003</v>
      </c>
      <c r="K516" s="138">
        <f t="shared" si="52"/>
        <v>3.9584160000000006</v>
      </c>
    </row>
    <row r="517" spans="1:11" ht="24.75">
      <c r="A517" s="856"/>
      <c r="B517" s="857" t="s">
        <v>1705</v>
      </c>
      <c r="C517" s="857" t="s">
        <v>698</v>
      </c>
      <c r="D517" s="857">
        <v>104091</v>
      </c>
      <c r="E517" s="856" t="s">
        <v>2505</v>
      </c>
      <c r="F517" s="1033" t="s">
        <v>1737</v>
      </c>
      <c r="G517" s="1034"/>
      <c r="H517" s="857" t="s">
        <v>408</v>
      </c>
      <c r="I517" s="856">
        <v>8.4400000000000003E-2</v>
      </c>
      <c r="J517" s="856">
        <v>0.92</v>
      </c>
      <c r="K517" s="138">
        <f t="shared" si="52"/>
        <v>7.7648000000000009E-2</v>
      </c>
    </row>
    <row r="518" spans="1:11">
      <c r="A518" s="139"/>
      <c r="E518" s="139"/>
      <c r="F518" s="139"/>
      <c r="I518" s="139"/>
      <c r="J518" s="139"/>
      <c r="K518" s="140"/>
    </row>
    <row r="519" spans="1:11">
      <c r="A519" s="128"/>
      <c r="B519" s="129" t="s">
        <v>1691</v>
      </c>
      <c r="C519" s="129" t="s">
        <v>1692</v>
      </c>
      <c r="D519" s="129" t="s">
        <v>1693</v>
      </c>
      <c r="E519" s="130" t="s">
        <v>0</v>
      </c>
      <c r="F519" s="130" t="s">
        <v>1694</v>
      </c>
      <c r="G519" s="129"/>
      <c r="H519" s="129" t="s">
        <v>1695</v>
      </c>
      <c r="I519" s="130" t="s">
        <v>1696</v>
      </c>
      <c r="J519" s="130" t="s">
        <v>1697</v>
      </c>
      <c r="K519" s="131" t="s">
        <v>1698</v>
      </c>
    </row>
    <row r="520" spans="1:11" ht="50.1" customHeight="1">
      <c r="A520" s="132" t="s">
        <v>1820</v>
      </c>
      <c r="B520" s="133" t="s">
        <v>1700</v>
      </c>
      <c r="C520" s="133" t="s">
        <v>698</v>
      </c>
      <c r="D520" s="133">
        <v>96648</v>
      </c>
      <c r="E520" s="134" t="s">
        <v>537</v>
      </c>
      <c r="F520" s="134" t="s">
        <v>516</v>
      </c>
      <c r="G520" s="133"/>
      <c r="H520" s="133" t="s">
        <v>405</v>
      </c>
      <c r="I520" s="134"/>
      <c r="J520" s="146"/>
      <c r="K520" s="135">
        <f>SUM(K521:K524)</f>
        <v>34.396993999999999</v>
      </c>
    </row>
    <row r="521" spans="1:11">
      <c r="A521" s="136" t="s">
        <v>1208</v>
      </c>
      <c r="B521" s="137" t="s">
        <v>792</v>
      </c>
      <c r="C521" s="137" t="s">
        <v>698</v>
      </c>
      <c r="D521" s="137">
        <v>38980</v>
      </c>
      <c r="E521" s="136" t="s">
        <v>1821</v>
      </c>
      <c r="F521" s="1033" t="s">
        <v>1703</v>
      </c>
      <c r="G521" s="1034"/>
      <c r="H521" s="137" t="s">
        <v>405</v>
      </c>
      <c r="I521" s="136">
        <v>1.0667</v>
      </c>
      <c r="J521" s="136">
        <v>22.02</v>
      </c>
      <c r="K521" s="138">
        <f>I521*J521</f>
        <v>23.488734000000001</v>
      </c>
    </row>
    <row r="522" spans="1:11">
      <c r="A522" s="136" t="s">
        <v>1208</v>
      </c>
      <c r="B522" s="137" t="s">
        <v>1705</v>
      </c>
      <c r="C522" s="137" t="s">
        <v>698</v>
      </c>
      <c r="D522" s="137">
        <v>88248</v>
      </c>
      <c r="E522" s="136" t="s">
        <v>505</v>
      </c>
      <c r="F522" s="1033" t="s">
        <v>1706</v>
      </c>
      <c r="G522" s="1034"/>
      <c r="H522" s="137" t="s">
        <v>412</v>
      </c>
      <c r="I522" s="136">
        <v>0.1852</v>
      </c>
      <c r="J522" s="136">
        <v>26.14</v>
      </c>
      <c r="K522" s="138">
        <f t="shared" ref="K522:K524" si="53">I522*J522</f>
        <v>4.8411280000000003</v>
      </c>
    </row>
    <row r="523" spans="1:11">
      <c r="A523" s="136" t="s">
        <v>1208</v>
      </c>
      <c r="B523" s="857" t="s">
        <v>1705</v>
      </c>
      <c r="C523" s="857" t="s">
        <v>698</v>
      </c>
      <c r="D523" s="137">
        <v>88267</v>
      </c>
      <c r="E523" s="136" t="s">
        <v>506</v>
      </c>
      <c r="F523" s="1033" t="s">
        <v>1706</v>
      </c>
      <c r="G523" s="1034"/>
      <c r="H523" s="137" t="s">
        <v>412</v>
      </c>
      <c r="I523" s="136">
        <v>0.1852</v>
      </c>
      <c r="J523" s="136">
        <v>32.130000000000003</v>
      </c>
      <c r="K523" s="138">
        <f t="shared" si="53"/>
        <v>5.950476000000001</v>
      </c>
    </row>
    <row r="524" spans="1:11" ht="24.75">
      <c r="A524" s="856"/>
      <c r="B524" s="137" t="s">
        <v>1705</v>
      </c>
      <c r="C524" s="137" t="s">
        <v>698</v>
      </c>
      <c r="D524" s="857">
        <v>104091</v>
      </c>
      <c r="E524" s="856" t="s">
        <v>2505</v>
      </c>
      <c r="F524" s="1033" t="s">
        <v>1737</v>
      </c>
      <c r="G524" s="1034"/>
      <c r="H524" s="857" t="s">
        <v>408</v>
      </c>
      <c r="I524" s="856">
        <v>0.1268</v>
      </c>
      <c r="J524" s="856">
        <v>0.92</v>
      </c>
      <c r="K524" s="138">
        <f t="shared" si="53"/>
        <v>0.116656</v>
      </c>
    </row>
    <row r="525" spans="1:11">
      <c r="A525" s="139"/>
      <c r="E525" s="139"/>
      <c r="F525" s="139"/>
      <c r="I525" s="139"/>
      <c r="J525" s="139"/>
      <c r="K525" s="140"/>
    </row>
    <row r="526" spans="1:11">
      <c r="A526" s="128"/>
      <c r="B526" s="129" t="s">
        <v>1691</v>
      </c>
      <c r="C526" s="129" t="s">
        <v>1692</v>
      </c>
      <c r="D526" s="129" t="s">
        <v>1693</v>
      </c>
      <c r="E526" s="130" t="s">
        <v>0</v>
      </c>
      <c r="F526" s="130" t="s">
        <v>1694</v>
      </c>
      <c r="G526" s="129"/>
      <c r="H526" s="129" t="s">
        <v>1695</v>
      </c>
      <c r="I526" s="130" t="s">
        <v>1696</v>
      </c>
      <c r="J526" s="130" t="s">
        <v>1697</v>
      </c>
      <c r="K526" s="131" t="s">
        <v>1698</v>
      </c>
    </row>
    <row r="527" spans="1:11" ht="50.1" customHeight="1">
      <c r="A527" s="132" t="s">
        <v>1822</v>
      </c>
      <c r="B527" s="133" t="s">
        <v>1700</v>
      </c>
      <c r="C527" s="133" t="s">
        <v>698</v>
      </c>
      <c r="D527" s="133">
        <v>96749</v>
      </c>
      <c r="E527" s="134" t="s">
        <v>563</v>
      </c>
      <c r="F527" s="134" t="s">
        <v>516</v>
      </c>
      <c r="G527" s="133"/>
      <c r="H527" s="133" t="s">
        <v>411</v>
      </c>
      <c r="I527" s="134"/>
      <c r="J527" s="146"/>
      <c r="K527" s="135">
        <f>SUM(K528:K530)</f>
        <v>15.16455</v>
      </c>
    </row>
    <row r="528" spans="1:11">
      <c r="A528" s="136" t="s">
        <v>1208</v>
      </c>
      <c r="B528" s="137" t="s">
        <v>792</v>
      </c>
      <c r="C528" s="137" t="s">
        <v>698</v>
      </c>
      <c r="D528" s="137">
        <v>38434</v>
      </c>
      <c r="E528" s="136" t="s">
        <v>1823</v>
      </c>
      <c r="F528" s="1033" t="s">
        <v>1703</v>
      </c>
      <c r="G528" s="1034"/>
      <c r="H528" s="137" t="s">
        <v>411</v>
      </c>
      <c r="I528" s="136">
        <v>1</v>
      </c>
      <c r="J528" s="136">
        <v>5.55</v>
      </c>
      <c r="K528" s="138">
        <f>I528*J528</f>
        <v>5.55</v>
      </c>
    </row>
    <row r="529" spans="1:11">
      <c r="A529" s="136" t="s">
        <v>1208</v>
      </c>
      <c r="B529" s="137" t="s">
        <v>1705</v>
      </c>
      <c r="C529" s="137" t="s">
        <v>698</v>
      </c>
      <c r="D529" s="137">
        <v>88248</v>
      </c>
      <c r="E529" s="136" t="s">
        <v>505</v>
      </c>
      <c r="F529" s="1033" t="s">
        <v>1706</v>
      </c>
      <c r="G529" s="1034"/>
      <c r="H529" s="137" t="s">
        <v>412</v>
      </c>
      <c r="I529" s="136">
        <v>0.16500000000000001</v>
      </c>
      <c r="J529" s="136">
        <v>26.14</v>
      </c>
      <c r="K529" s="138">
        <f t="shared" ref="K529:K530" si="54">I529*J529</f>
        <v>4.3131000000000004</v>
      </c>
    </row>
    <row r="530" spans="1:11">
      <c r="A530" s="136" t="s">
        <v>1208</v>
      </c>
      <c r="B530" s="137" t="s">
        <v>1705</v>
      </c>
      <c r="C530" s="137" t="s">
        <v>698</v>
      </c>
      <c r="D530" s="137">
        <v>88267</v>
      </c>
      <c r="E530" s="136" t="s">
        <v>506</v>
      </c>
      <c r="F530" s="1033" t="s">
        <v>1706</v>
      </c>
      <c r="G530" s="1034"/>
      <c r="H530" s="137" t="s">
        <v>412</v>
      </c>
      <c r="I530" s="136">
        <v>0.16500000000000001</v>
      </c>
      <c r="J530" s="136">
        <v>32.130000000000003</v>
      </c>
      <c r="K530" s="138">
        <f t="shared" si="54"/>
        <v>5.3014500000000009</v>
      </c>
    </row>
    <row r="531" spans="1:11">
      <c r="A531" s="139"/>
      <c r="E531" s="139"/>
      <c r="F531" s="139"/>
      <c r="I531" s="139"/>
      <c r="J531" s="139"/>
      <c r="K531" s="140"/>
    </row>
    <row r="532" spans="1:11">
      <c r="A532" s="128"/>
      <c r="B532" s="129" t="s">
        <v>1691</v>
      </c>
      <c r="C532" s="129" t="s">
        <v>1692</v>
      </c>
      <c r="D532" s="129" t="s">
        <v>1693</v>
      </c>
      <c r="E532" s="130" t="s">
        <v>0</v>
      </c>
      <c r="F532" s="130" t="s">
        <v>1694</v>
      </c>
      <c r="G532" s="129"/>
      <c r="H532" s="129" t="s">
        <v>1695</v>
      </c>
      <c r="I532" s="130" t="s">
        <v>1696</v>
      </c>
      <c r="J532" s="130" t="s">
        <v>1697</v>
      </c>
      <c r="K532" s="131" t="s">
        <v>1698</v>
      </c>
    </row>
    <row r="533" spans="1:11" ht="50.1" customHeight="1">
      <c r="A533" s="132" t="s">
        <v>1824</v>
      </c>
      <c r="B533" s="133" t="s">
        <v>1700</v>
      </c>
      <c r="C533" s="133" t="s">
        <v>698</v>
      </c>
      <c r="D533" s="133">
        <v>89508</v>
      </c>
      <c r="E533" s="134" t="s">
        <v>517</v>
      </c>
      <c r="F533" s="134" t="s">
        <v>516</v>
      </c>
      <c r="G533" s="133"/>
      <c r="H533" s="133" t="s">
        <v>405</v>
      </c>
      <c r="I533" s="134"/>
      <c r="J533" s="146"/>
      <c r="K533" s="135">
        <f>SUM(K534:K537)</f>
        <v>22.790752000000005</v>
      </c>
    </row>
    <row r="534" spans="1:11">
      <c r="A534" s="136" t="s">
        <v>1208</v>
      </c>
      <c r="B534" s="137" t="s">
        <v>792</v>
      </c>
      <c r="C534" s="137" t="s">
        <v>698</v>
      </c>
      <c r="D534" s="137">
        <v>20067</v>
      </c>
      <c r="E534" s="136" t="s">
        <v>518</v>
      </c>
      <c r="F534" s="1033" t="s">
        <v>1703</v>
      </c>
      <c r="G534" s="1034"/>
      <c r="H534" s="137" t="s">
        <v>405</v>
      </c>
      <c r="I534" s="858">
        <v>1.0353000000000001</v>
      </c>
      <c r="J534" s="136">
        <v>13.65</v>
      </c>
      <c r="K534" s="138">
        <f>J534*I534</f>
        <v>14.131845000000002</v>
      </c>
    </row>
    <row r="535" spans="1:11">
      <c r="A535" s="136" t="s">
        <v>1208</v>
      </c>
      <c r="B535" s="137" t="s">
        <v>792</v>
      </c>
      <c r="C535" s="137" t="s">
        <v>698</v>
      </c>
      <c r="D535" s="137">
        <v>38383</v>
      </c>
      <c r="E535" s="136" t="s">
        <v>1825</v>
      </c>
      <c r="F535" s="1033" t="s">
        <v>1703</v>
      </c>
      <c r="G535" s="1034"/>
      <c r="H535" s="137" t="s">
        <v>411</v>
      </c>
      <c r="I535" s="858">
        <v>8.2000000000000007E-3</v>
      </c>
      <c r="J535" s="136">
        <v>2.13</v>
      </c>
      <c r="K535" s="138">
        <f t="shared" ref="K535:K537" si="55">J535*I535</f>
        <v>1.7465999999999999E-2</v>
      </c>
    </row>
    <row r="536" spans="1:11">
      <c r="A536" s="136" t="s">
        <v>1208</v>
      </c>
      <c r="B536" s="137" t="s">
        <v>1705</v>
      </c>
      <c r="C536" s="137" t="s">
        <v>698</v>
      </c>
      <c r="D536" s="137">
        <v>88248</v>
      </c>
      <c r="E536" s="136" t="s">
        <v>505</v>
      </c>
      <c r="F536" s="1033" t="s">
        <v>1706</v>
      </c>
      <c r="G536" s="1034"/>
      <c r="H536" s="137" t="s">
        <v>412</v>
      </c>
      <c r="I536" s="858">
        <v>0.14829999999999999</v>
      </c>
      <c r="J536" s="136">
        <v>26.14</v>
      </c>
      <c r="K536" s="138">
        <f t="shared" si="55"/>
        <v>3.8765619999999998</v>
      </c>
    </row>
    <row r="537" spans="1:11">
      <c r="A537" s="136" t="s">
        <v>1208</v>
      </c>
      <c r="B537" s="137" t="s">
        <v>1705</v>
      </c>
      <c r="C537" s="137" t="s">
        <v>698</v>
      </c>
      <c r="D537" s="137">
        <v>88267</v>
      </c>
      <c r="E537" s="136" t="s">
        <v>506</v>
      </c>
      <c r="F537" s="1033" t="s">
        <v>1706</v>
      </c>
      <c r="G537" s="1034"/>
      <c r="H537" s="137" t="s">
        <v>412</v>
      </c>
      <c r="I537" s="858">
        <v>0.14829999999999999</v>
      </c>
      <c r="J537" s="136">
        <v>32.130000000000003</v>
      </c>
      <c r="K537" s="138">
        <f t="shared" si="55"/>
        <v>4.7648789999999996</v>
      </c>
    </row>
    <row r="538" spans="1:11">
      <c r="A538" s="139"/>
      <c r="E538" s="139"/>
      <c r="F538" s="139"/>
      <c r="I538" s="139"/>
      <c r="J538" s="139"/>
      <c r="K538" s="140"/>
    </row>
    <row r="539" spans="1:11">
      <c r="A539" s="128"/>
      <c r="B539" s="129" t="s">
        <v>1691</v>
      </c>
      <c r="C539" s="129" t="s">
        <v>1692</v>
      </c>
      <c r="D539" s="129" t="s">
        <v>1693</v>
      </c>
      <c r="E539" s="130" t="s">
        <v>0</v>
      </c>
      <c r="F539" s="130" t="s">
        <v>1694</v>
      </c>
      <c r="G539" s="129"/>
      <c r="H539" s="129" t="s">
        <v>1695</v>
      </c>
      <c r="I539" s="130" t="s">
        <v>1696</v>
      </c>
      <c r="J539" s="130" t="s">
        <v>1697</v>
      </c>
      <c r="K539" s="131" t="s">
        <v>1698</v>
      </c>
    </row>
    <row r="540" spans="1:11" ht="50.1" customHeight="1">
      <c r="A540" s="132" t="s">
        <v>1826</v>
      </c>
      <c r="B540" s="133" t="s">
        <v>1700</v>
      </c>
      <c r="C540" s="133" t="s">
        <v>698</v>
      </c>
      <c r="D540" s="133">
        <v>89509</v>
      </c>
      <c r="E540" s="134" t="s">
        <v>446</v>
      </c>
      <c r="F540" s="134" t="s">
        <v>516</v>
      </c>
      <c r="G540" s="133"/>
      <c r="H540" s="133" t="s">
        <v>405</v>
      </c>
      <c r="I540" s="134"/>
      <c r="J540" s="146"/>
      <c r="K540" s="135">
        <f>SUM(K541:K546)</f>
        <v>31.347909000000008</v>
      </c>
    </row>
    <row r="541" spans="1:11">
      <c r="A541" s="136" t="s">
        <v>1208</v>
      </c>
      <c r="B541" s="137" t="s">
        <v>792</v>
      </c>
      <c r="C541" s="137" t="s">
        <v>698</v>
      </c>
      <c r="D541" s="137">
        <v>122</v>
      </c>
      <c r="E541" s="136" t="s">
        <v>1827</v>
      </c>
      <c r="F541" s="1033" t="s">
        <v>1703</v>
      </c>
      <c r="G541" s="1034"/>
      <c r="H541" s="137" t="s">
        <v>411</v>
      </c>
      <c r="I541" s="858">
        <v>1.2800000000000001E-2</v>
      </c>
      <c r="J541" s="136">
        <v>76.17</v>
      </c>
      <c r="K541" s="138">
        <f>I541*J541</f>
        <v>0.97497600000000006</v>
      </c>
    </row>
    <row r="542" spans="1:11">
      <c r="A542" s="136" t="s">
        <v>1208</v>
      </c>
      <c r="B542" s="137" t="s">
        <v>792</v>
      </c>
      <c r="C542" s="137" t="s">
        <v>698</v>
      </c>
      <c r="D542" s="137">
        <v>20068</v>
      </c>
      <c r="E542" s="136" t="s">
        <v>519</v>
      </c>
      <c r="F542" s="1033" t="s">
        <v>1703</v>
      </c>
      <c r="G542" s="1034"/>
      <c r="H542" s="137" t="s">
        <v>405</v>
      </c>
      <c r="I542" s="858">
        <v>1.0353000000000001</v>
      </c>
      <c r="J542" s="136">
        <v>17.03</v>
      </c>
      <c r="K542" s="138">
        <f t="shared" ref="K542:K546" si="56">I542*J542</f>
        <v>17.631159000000004</v>
      </c>
    </row>
    <row r="543" spans="1:11">
      <c r="A543" s="136" t="s">
        <v>1208</v>
      </c>
      <c r="B543" s="137" t="s">
        <v>792</v>
      </c>
      <c r="C543" s="137" t="s">
        <v>698</v>
      </c>
      <c r="D543" s="137">
        <v>20083</v>
      </c>
      <c r="E543" s="136" t="s">
        <v>1828</v>
      </c>
      <c r="F543" s="1033" t="s">
        <v>1703</v>
      </c>
      <c r="G543" s="1034"/>
      <c r="H543" s="137" t="s">
        <v>411</v>
      </c>
      <c r="I543" s="858">
        <v>1.9300000000000001E-2</v>
      </c>
      <c r="J543" s="136">
        <v>86.3</v>
      </c>
      <c r="K543" s="138">
        <f t="shared" si="56"/>
        <v>1.6655900000000001</v>
      </c>
    </row>
    <row r="544" spans="1:11">
      <c r="A544" s="136" t="s">
        <v>1208</v>
      </c>
      <c r="B544" s="137" t="s">
        <v>792</v>
      </c>
      <c r="C544" s="137" t="s">
        <v>698</v>
      </c>
      <c r="D544" s="137">
        <v>38383</v>
      </c>
      <c r="E544" s="136" t="s">
        <v>1825</v>
      </c>
      <c r="F544" s="1033" t="s">
        <v>1703</v>
      </c>
      <c r="G544" s="1034"/>
      <c r="H544" s="137" t="s">
        <v>411</v>
      </c>
      <c r="I544" s="858">
        <v>1.0500000000000001E-2</v>
      </c>
      <c r="J544" s="136">
        <v>2.13</v>
      </c>
      <c r="K544" s="138">
        <f t="shared" si="56"/>
        <v>2.2364999999999999E-2</v>
      </c>
    </row>
    <row r="545" spans="1:11">
      <c r="A545" s="136" t="s">
        <v>1208</v>
      </c>
      <c r="B545" s="137" t="s">
        <v>1705</v>
      </c>
      <c r="C545" s="137" t="s">
        <v>698</v>
      </c>
      <c r="D545" s="137">
        <v>88248</v>
      </c>
      <c r="E545" s="136" t="s">
        <v>505</v>
      </c>
      <c r="F545" s="1033" t="s">
        <v>1706</v>
      </c>
      <c r="G545" s="1034"/>
      <c r="H545" s="137" t="s">
        <v>412</v>
      </c>
      <c r="I545" s="858">
        <v>0.18970000000000001</v>
      </c>
      <c r="J545" s="136">
        <v>26.14</v>
      </c>
      <c r="K545" s="138">
        <f t="shared" si="56"/>
        <v>4.9587580000000004</v>
      </c>
    </row>
    <row r="546" spans="1:11">
      <c r="A546" s="136" t="s">
        <v>1208</v>
      </c>
      <c r="B546" s="137" t="s">
        <v>1705</v>
      </c>
      <c r="C546" s="137" t="s">
        <v>698</v>
      </c>
      <c r="D546" s="137">
        <v>88267</v>
      </c>
      <c r="E546" s="136" t="s">
        <v>506</v>
      </c>
      <c r="F546" s="1033" t="s">
        <v>1706</v>
      </c>
      <c r="G546" s="1034"/>
      <c r="H546" s="137" t="s">
        <v>412</v>
      </c>
      <c r="I546" s="858">
        <v>0.18970000000000001</v>
      </c>
      <c r="J546" s="136">
        <v>32.130000000000003</v>
      </c>
      <c r="K546" s="138">
        <f t="shared" si="56"/>
        <v>6.0950610000000003</v>
      </c>
    </row>
    <row r="547" spans="1:11">
      <c r="A547" s="139"/>
      <c r="E547" s="139"/>
      <c r="F547" s="139"/>
      <c r="I547" s="139"/>
      <c r="J547" s="139"/>
      <c r="K547" s="140"/>
    </row>
    <row r="548" spans="1:11">
      <c r="A548" s="128"/>
      <c r="B548" s="129" t="s">
        <v>1691</v>
      </c>
      <c r="C548" s="129" t="s">
        <v>1692</v>
      </c>
      <c r="D548" s="129" t="s">
        <v>1693</v>
      </c>
      <c r="E548" s="130" t="s">
        <v>0</v>
      </c>
      <c r="F548" s="130" t="s">
        <v>1694</v>
      </c>
      <c r="G548" s="129"/>
      <c r="H548" s="129" t="s">
        <v>1695</v>
      </c>
      <c r="I548" s="130" t="s">
        <v>1696</v>
      </c>
      <c r="J548" s="130" t="s">
        <v>1697</v>
      </c>
      <c r="K548" s="131" t="s">
        <v>1698</v>
      </c>
    </row>
    <row r="549" spans="1:11" ht="50.1" customHeight="1">
      <c r="A549" s="132" t="s">
        <v>1829</v>
      </c>
      <c r="B549" s="133" t="s">
        <v>1700</v>
      </c>
      <c r="C549" s="133" t="s">
        <v>698</v>
      </c>
      <c r="D549" s="133">
        <v>89512</v>
      </c>
      <c r="E549" s="134" t="s">
        <v>520</v>
      </c>
      <c r="F549" s="134" t="s">
        <v>516</v>
      </c>
      <c r="G549" s="133"/>
      <c r="H549" s="133" t="s">
        <v>405</v>
      </c>
      <c r="I549" s="134"/>
      <c r="J549" s="146"/>
      <c r="K549" s="135">
        <f>SUM(K550:K555)</f>
        <v>73.28276000000001</v>
      </c>
    </row>
    <row r="550" spans="1:11">
      <c r="A550" s="136" t="s">
        <v>1208</v>
      </c>
      <c r="B550" s="137" t="s">
        <v>792</v>
      </c>
      <c r="C550" s="137" t="s">
        <v>698</v>
      </c>
      <c r="D550" s="137">
        <v>122</v>
      </c>
      <c r="E550" s="136" t="s">
        <v>1827</v>
      </c>
      <c r="F550" s="1033" t="s">
        <v>1703</v>
      </c>
      <c r="G550" s="1034"/>
      <c r="H550" s="137" t="s">
        <v>411</v>
      </c>
      <c r="I550" s="136">
        <v>4.2900000000000001E-2</v>
      </c>
      <c r="J550" s="136">
        <v>76.17</v>
      </c>
      <c r="K550" s="138">
        <f>I550*J550</f>
        <v>3.267693</v>
      </c>
    </row>
    <row r="551" spans="1:11">
      <c r="A551" s="136" t="s">
        <v>1208</v>
      </c>
      <c r="B551" s="137" t="s">
        <v>792</v>
      </c>
      <c r="C551" s="137" t="s">
        <v>698</v>
      </c>
      <c r="D551" s="137">
        <v>9841</v>
      </c>
      <c r="E551" s="136" t="s">
        <v>521</v>
      </c>
      <c r="F551" s="1033" t="s">
        <v>1703</v>
      </c>
      <c r="G551" s="1034"/>
      <c r="H551" s="137" t="s">
        <v>405</v>
      </c>
      <c r="I551" s="136">
        <v>1.0353000000000001</v>
      </c>
      <c r="J551" s="136">
        <v>39.090000000000003</v>
      </c>
      <c r="K551" s="138">
        <f t="shared" ref="K551:K555" si="57">I551*J551</f>
        <v>40.469877000000011</v>
      </c>
    </row>
    <row r="552" spans="1:11">
      <c r="A552" s="136" t="s">
        <v>1208</v>
      </c>
      <c r="B552" s="137" t="s">
        <v>792</v>
      </c>
      <c r="C552" s="137" t="s">
        <v>698</v>
      </c>
      <c r="D552" s="137">
        <v>20083</v>
      </c>
      <c r="E552" s="136" t="s">
        <v>1828</v>
      </c>
      <c r="F552" s="1033" t="s">
        <v>1703</v>
      </c>
      <c r="G552" s="1034"/>
      <c r="H552" s="137" t="s">
        <v>411</v>
      </c>
      <c r="I552" s="136">
        <v>7.0099999999999996E-2</v>
      </c>
      <c r="J552" s="136">
        <v>86.3</v>
      </c>
      <c r="K552" s="138">
        <f t="shared" si="57"/>
        <v>6.0496299999999996</v>
      </c>
    </row>
    <row r="553" spans="1:11">
      <c r="A553" s="136" t="s">
        <v>1208</v>
      </c>
      <c r="B553" s="137" t="s">
        <v>792</v>
      </c>
      <c r="C553" s="137" t="s">
        <v>698</v>
      </c>
      <c r="D553" s="137">
        <v>38383</v>
      </c>
      <c r="E553" s="136" t="s">
        <v>1825</v>
      </c>
      <c r="F553" s="1033" t="s">
        <v>1703</v>
      </c>
      <c r="G553" s="1034"/>
      <c r="H553" s="137" t="s">
        <v>411</v>
      </c>
      <c r="I553" s="136">
        <v>2.24E-2</v>
      </c>
      <c r="J553" s="136">
        <v>2.13</v>
      </c>
      <c r="K553" s="138">
        <f t="shared" si="57"/>
        <v>4.7711999999999997E-2</v>
      </c>
    </row>
    <row r="554" spans="1:11">
      <c r="A554" s="136" t="s">
        <v>1208</v>
      </c>
      <c r="B554" s="137" t="s">
        <v>1705</v>
      </c>
      <c r="C554" s="137" t="s">
        <v>698</v>
      </c>
      <c r="D554" s="137">
        <v>88248</v>
      </c>
      <c r="E554" s="136" t="s">
        <v>505</v>
      </c>
      <c r="F554" s="1033" t="s">
        <v>1706</v>
      </c>
      <c r="G554" s="1034"/>
      <c r="H554" s="137" t="s">
        <v>412</v>
      </c>
      <c r="I554" s="136">
        <v>0.40239999999999998</v>
      </c>
      <c r="J554" s="136">
        <v>26.14</v>
      </c>
      <c r="K554" s="138">
        <f t="shared" si="57"/>
        <v>10.518736000000001</v>
      </c>
    </row>
    <row r="555" spans="1:11">
      <c r="A555" s="136" t="s">
        <v>1208</v>
      </c>
      <c r="B555" s="137" t="s">
        <v>1705</v>
      </c>
      <c r="C555" s="137" t="s">
        <v>698</v>
      </c>
      <c r="D555" s="137">
        <v>88267</v>
      </c>
      <c r="E555" s="136" t="s">
        <v>506</v>
      </c>
      <c r="F555" s="1033" t="s">
        <v>1706</v>
      </c>
      <c r="G555" s="1034"/>
      <c r="H555" s="137" t="s">
        <v>412</v>
      </c>
      <c r="I555" s="136">
        <v>0.40239999999999998</v>
      </c>
      <c r="J555" s="136">
        <v>32.130000000000003</v>
      </c>
      <c r="K555" s="138">
        <f t="shared" si="57"/>
        <v>12.929112</v>
      </c>
    </row>
    <row r="556" spans="1:11">
      <c r="A556" s="139"/>
      <c r="E556" s="139"/>
      <c r="F556" s="139"/>
      <c r="I556" s="139"/>
      <c r="J556" s="139"/>
      <c r="K556" s="140"/>
    </row>
    <row r="557" spans="1:11">
      <c r="A557" s="128"/>
      <c r="B557" s="129" t="s">
        <v>1691</v>
      </c>
      <c r="C557" s="129" t="s">
        <v>1692</v>
      </c>
      <c r="D557" s="129" t="s">
        <v>1693</v>
      </c>
      <c r="E557" s="130" t="s">
        <v>0</v>
      </c>
      <c r="F557" s="130" t="s">
        <v>1694</v>
      </c>
      <c r="G557" s="129"/>
      <c r="H557" s="129" t="s">
        <v>1695</v>
      </c>
      <c r="I557" s="130" t="s">
        <v>1696</v>
      </c>
      <c r="J557" s="130" t="s">
        <v>1697</v>
      </c>
      <c r="K557" s="131" t="s">
        <v>1698</v>
      </c>
    </row>
    <row r="558" spans="1:11" ht="50.1" customHeight="1">
      <c r="A558" s="132" t="s">
        <v>1830</v>
      </c>
      <c r="B558" s="133" t="s">
        <v>1700</v>
      </c>
      <c r="C558" s="133" t="s">
        <v>698</v>
      </c>
      <c r="D558" s="133">
        <v>89561</v>
      </c>
      <c r="E558" s="134" t="s">
        <v>550</v>
      </c>
      <c r="F558" s="134" t="s">
        <v>516</v>
      </c>
      <c r="G558" s="133"/>
      <c r="H558" s="133" t="s">
        <v>411</v>
      </c>
      <c r="I558" s="134"/>
      <c r="J558" s="146"/>
      <c r="K558" s="135">
        <f>SUM(K559:K564)</f>
        <v>14.403828999999998</v>
      </c>
    </row>
    <row r="559" spans="1:11">
      <c r="A559" s="136" t="s">
        <v>1208</v>
      </c>
      <c r="B559" s="137" t="s">
        <v>792</v>
      </c>
      <c r="C559" s="137" t="s">
        <v>698</v>
      </c>
      <c r="D559" s="137">
        <v>122</v>
      </c>
      <c r="E559" s="136" t="s">
        <v>1827</v>
      </c>
      <c r="F559" s="1033" t="s">
        <v>1703</v>
      </c>
      <c r="G559" s="1034"/>
      <c r="H559" s="137" t="s">
        <v>411</v>
      </c>
      <c r="I559" s="136">
        <v>1.4800000000000001E-2</v>
      </c>
      <c r="J559" s="136">
        <v>76.17</v>
      </c>
      <c r="K559" s="138">
        <v>1.1200000000000001</v>
      </c>
    </row>
    <row r="560" spans="1:11">
      <c r="A560" s="136" t="s">
        <v>1208</v>
      </c>
      <c r="B560" s="137" t="s">
        <v>792</v>
      </c>
      <c r="C560" s="137" t="s">
        <v>698</v>
      </c>
      <c r="D560" s="137">
        <v>20083</v>
      </c>
      <c r="E560" s="136" t="s">
        <v>1828</v>
      </c>
      <c r="F560" s="1033" t="s">
        <v>1703</v>
      </c>
      <c r="G560" s="1034"/>
      <c r="H560" s="137" t="s">
        <v>411</v>
      </c>
      <c r="I560" s="136">
        <v>2.2499999999999999E-2</v>
      </c>
      <c r="J560" s="136">
        <v>86.3</v>
      </c>
      <c r="K560" s="138">
        <v>1.94</v>
      </c>
    </row>
    <row r="561" spans="1:11">
      <c r="A561" s="136" t="s">
        <v>1208</v>
      </c>
      <c r="B561" s="137" t="s">
        <v>792</v>
      </c>
      <c r="C561" s="137" t="s">
        <v>698</v>
      </c>
      <c r="D561" s="137">
        <v>20140</v>
      </c>
      <c r="E561" s="136" t="s">
        <v>551</v>
      </c>
      <c r="F561" s="1033" t="s">
        <v>1703</v>
      </c>
      <c r="G561" s="1034"/>
      <c r="H561" s="137" t="s">
        <v>411</v>
      </c>
      <c r="I561" s="136">
        <v>1</v>
      </c>
      <c r="J561" s="136">
        <v>7.56</v>
      </c>
      <c r="K561" s="138">
        <f t="shared" ref="K561:K564" si="58">I561*J561</f>
        <v>7.56</v>
      </c>
    </row>
    <row r="562" spans="1:11">
      <c r="A562" s="136" t="s">
        <v>1208</v>
      </c>
      <c r="B562" s="137" t="s">
        <v>792</v>
      </c>
      <c r="C562" s="137" t="s">
        <v>698</v>
      </c>
      <c r="D562" s="137">
        <v>38383</v>
      </c>
      <c r="E562" s="136" t="s">
        <v>1825</v>
      </c>
      <c r="F562" s="1033" t="s">
        <v>1703</v>
      </c>
      <c r="G562" s="1034"/>
      <c r="H562" s="137" t="s">
        <v>411</v>
      </c>
      <c r="I562" s="136">
        <v>3.9E-2</v>
      </c>
      <c r="J562" s="136">
        <v>2.13</v>
      </c>
      <c r="K562" s="138">
        <v>7.0000000000000007E-2</v>
      </c>
    </row>
    <row r="563" spans="1:11">
      <c r="A563" s="136" t="s">
        <v>1208</v>
      </c>
      <c r="B563" s="137" t="s">
        <v>1705</v>
      </c>
      <c r="C563" s="137" t="s">
        <v>698</v>
      </c>
      <c r="D563" s="137">
        <v>88248</v>
      </c>
      <c r="E563" s="136" t="s">
        <v>505</v>
      </c>
      <c r="F563" s="1033" t="s">
        <v>1706</v>
      </c>
      <c r="G563" s="1034"/>
      <c r="H563" s="137" t="s">
        <v>412</v>
      </c>
      <c r="I563" s="136">
        <v>6.3299999999999995E-2</v>
      </c>
      <c r="J563" s="136">
        <v>26.14</v>
      </c>
      <c r="K563" s="138">
        <v>1.68</v>
      </c>
    </row>
    <row r="564" spans="1:11">
      <c r="A564" s="136" t="s">
        <v>1208</v>
      </c>
      <c r="B564" s="137" t="s">
        <v>1705</v>
      </c>
      <c r="C564" s="137" t="s">
        <v>698</v>
      </c>
      <c r="D564" s="137">
        <v>88267</v>
      </c>
      <c r="E564" s="136" t="s">
        <v>506</v>
      </c>
      <c r="F564" s="1033" t="s">
        <v>1706</v>
      </c>
      <c r="G564" s="1034"/>
      <c r="H564" s="137" t="s">
        <v>412</v>
      </c>
      <c r="I564" s="136">
        <v>6.3299999999999995E-2</v>
      </c>
      <c r="J564" s="136">
        <v>32.130000000000003</v>
      </c>
      <c r="K564" s="138">
        <f t="shared" si="58"/>
        <v>2.0338289999999999</v>
      </c>
    </row>
    <row r="565" spans="1:11">
      <c r="A565" s="139"/>
      <c r="E565" s="139"/>
      <c r="F565" s="139"/>
      <c r="I565" s="139"/>
      <c r="J565" s="139"/>
      <c r="K565" s="140"/>
    </row>
    <row r="566" spans="1:11">
      <c r="A566" s="128"/>
      <c r="B566" s="129" t="s">
        <v>1691</v>
      </c>
      <c r="C566" s="129" t="s">
        <v>1692</v>
      </c>
      <c r="D566" s="129" t="s">
        <v>1693</v>
      </c>
      <c r="E566" s="130" t="s">
        <v>0</v>
      </c>
      <c r="F566" s="130" t="s">
        <v>1694</v>
      </c>
      <c r="G566" s="129"/>
      <c r="H566" s="129" t="s">
        <v>1695</v>
      </c>
      <c r="I566" s="130" t="s">
        <v>1696</v>
      </c>
      <c r="J566" s="130" t="s">
        <v>1697</v>
      </c>
      <c r="K566" s="131" t="s">
        <v>1698</v>
      </c>
    </row>
    <row r="567" spans="1:11" ht="50.1" customHeight="1">
      <c r="A567" s="132" t="s">
        <v>1831</v>
      </c>
      <c r="B567" s="133" t="s">
        <v>1700</v>
      </c>
      <c r="C567" s="133" t="s">
        <v>698</v>
      </c>
      <c r="D567" s="133">
        <v>89563</v>
      </c>
      <c r="E567" s="134" t="s">
        <v>552</v>
      </c>
      <c r="F567" s="134" t="s">
        <v>516</v>
      </c>
      <c r="G567" s="133"/>
      <c r="H567" s="133" t="s">
        <v>411</v>
      </c>
      <c r="I567" s="134"/>
      <c r="J567" s="146"/>
      <c r="K567" s="135">
        <f>SUM(K568:K572)</f>
        <v>28.112043</v>
      </c>
    </row>
    <row r="568" spans="1:11" ht="24.75">
      <c r="A568" s="136" t="s">
        <v>1208</v>
      </c>
      <c r="B568" s="137" t="s">
        <v>792</v>
      </c>
      <c r="C568" s="137" t="s">
        <v>698</v>
      </c>
      <c r="D568" s="137">
        <v>20078</v>
      </c>
      <c r="E568" s="136" t="s">
        <v>410</v>
      </c>
      <c r="F568" s="1033" t="s">
        <v>1703</v>
      </c>
      <c r="G568" s="1034"/>
      <c r="H568" s="137" t="s">
        <v>411</v>
      </c>
      <c r="I568" s="136">
        <v>7.4999999999999997E-2</v>
      </c>
      <c r="J568" s="136">
        <v>31.44</v>
      </c>
      <c r="K568" s="138">
        <f>I568*J568</f>
        <v>2.3580000000000001</v>
      </c>
    </row>
    <row r="569" spans="1:11">
      <c r="A569" s="136" t="s">
        <v>1208</v>
      </c>
      <c r="B569" s="137" t="s">
        <v>792</v>
      </c>
      <c r="C569" s="137" t="s">
        <v>698</v>
      </c>
      <c r="D569" s="137">
        <v>20085</v>
      </c>
      <c r="E569" s="136" t="s">
        <v>1832</v>
      </c>
      <c r="F569" s="1033" t="s">
        <v>1703</v>
      </c>
      <c r="G569" s="1034"/>
      <c r="H569" s="137" t="s">
        <v>411</v>
      </c>
      <c r="I569" s="136">
        <v>3</v>
      </c>
      <c r="J569" s="136">
        <v>2.59</v>
      </c>
      <c r="K569" s="138">
        <f t="shared" ref="K569:K572" si="59">I569*J569</f>
        <v>7.77</v>
      </c>
    </row>
    <row r="570" spans="1:11">
      <c r="A570" s="136" t="s">
        <v>1208</v>
      </c>
      <c r="B570" s="137" t="s">
        <v>792</v>
      </c>
      <c r="C570" s="137" t="s">
        <v>698</v>
      </c>
      <c r="D570" s="137">
        <v>20141</v>
      </c>
      <c r="E570" s="136" t="s">
        <v>553</v>
      </c>
      <c r="F570" s="1033" t="s">
        <v>1703</v>
      </c>
      <c r="G570" s="1034"/>
      <c r="H570" s="137" t="s">
        <v>411</v>
      </c>
      <c r="I570" s="136">
        <v>1</v>
      </c>
      <c r="J570" s="136">
        <v>13.27</v>
      </c>
      <c r="K570" s="138">
        <f t="shared" si="59"/>
        <v>13.27</v>
      </c>
    </row>
    <row r="571" spans="1:11">
      <c r="A571" s="136" t="s">
        <v>1208</v>
      </c>
      <c r="B571" s="137" t="s">
        <v>1705</v>
      </c>
      <c r="C571" s="137" t="s">
        <v>698</v>
      </c>
      <c r="D571" s="137">
        <v>88248</v>
      </c>
      <c r="E571" s="136" t="s">
        <v>505</v>
      </c>
      <c r="F571" s="1033" t="s">
        <v>1706</v>
      </c>
      <c r="G571" s="1034"/>
      <c r="H571" s="137" t="s">
        <v>412</v>
      </c>
      <c r="I571" s="136">
        <v>8.09E-2</v>
      </c>
      <c r="J571" s="136">
        <v>26.14</v>
      </c>
      <c r="K571" s="138">
        <f t="shared" si="59"/>
        <v>2.1147260000000001</v>
      </c>
    </row>
    <row r="572" spans="1:11">
      <c r="A572" s="136" t="s">
        <v>1208</v>
      </c>
      <c r="B572" s="137" t="s">
        <v>1705</v>
      </c>
      <c r="C572" s="137" t="s">
        <v>698</v>
      </c>
      <c r="D572" s="137">
        <v>88267</v>
      </c>
      <c r="E572" s="136" t="s">
        <v>506</v>
      </c>
      <c r="F572" s="1033" t="s">
        <v>1706</v>
      </c>
      <c r="G572" s="1034"/>
      <c r="H572" s="137" t="s">
        <v>412</v>
      </c>
      <c r="I572" s="136">
        <v>8.09E-2</v>
      </c>
      <c r="J572" s="136">
        <v>32.130000000000003</v>
      </c>
      <c r="K572" s="138">
        <f t="shared" si="59"/>
        <v>2.5993170000000001</v>
      </c>
    </row>
    <row r="573" spans="1:11">
      <c r="A573" s="139"/>
      <c r="E573" s="139"/>
      <c r="F573" s="139"/>
      <c r="I573" s="139"/>
      <c r="J573" s="139"/>
      <c r="K573" s="140"/>
    </row>
    <row r="574" spans="1:11">
      <c r="A574" s="128"/>
      <c r="B574" s="129" t="s">
        <v>1691</v>
      </c>
      <c r="C574" s="129" t="s">
        <v>1692</v>
      </c>
      <c r="D574" s="129" t="s">
        <v>1693</v>
      </c>
      <c r="E574" s="130" t="s">
        <v>0</v>
      </c>
      <c r="F574" s="130" t="s">
        <v>1694</v>
      </c>
      <c r="G574" s="129"/>
      <c r="H574" s="129" t="s">
        <v>1695</v>
      </c>
      <c r="I574" s="130" t="s">
        <v>1696</v>
      </c>
      <c r="J574" s="130" t="s">
        <v>1697</v>
      </c>
      <c r="K574" s="131" t="s">
        <v>1698</v>
      </c>
    </row>
    <row r="575" spans="1:11" ht="50.1" customHeight="1">
      <c r="A575" s="132" t="s">
        <v>1833</v>
      </c>
      <c r="B575" s="133" t="s">
        <v>1700</v>
      </c>
      <c r="C575" s="133" t="s">
        <v>698</v>
      </c>
      <c r="D575" s="133">
        <v>89546</v>
      </c>
      <c r="E575" s="134" t="s">
        <v>548</v>
      </c>
      <c r="F575" s="134" t="s">
        <v>516</v>
      </c>
      <c r="G575" s="133"/>
      <c r="H575" s="133" t="s">
        <v>411</v>
      </c>
      <c r="I575" s="134"/>
      <c r="J575" s="146"/>
      <c r="K575" s="135">
        <f>SUM(K576:K583)</f>
        <v>13.79772</v>
      </c>
    </row>
    <row r="576" spans="1:11" ht="24" customHeight="1">
      <c r="A576" s="132"/>
      <c r="B576" s="133"/>
      <c r="C576" s="133"/>
      <c r="D576" s="857">
        <v>122</v>
      </c>
      <c r="E576" s="856" t="s">
        <v>2507</v>
      </c>
      <c r="F576" s="1033" t="s">
        <v>1703</v>
      </c>
      <c r="G576" s="1034"/>
      <c r="H576" s="857" t="s">
        <v>411</v>
      </c>
      <c r="I576" s="856">
        <v>4.8999999999999998E-3</v>
      </c>
      <c r="J576" s="856">
        <v>76.17</v>
      </c>
      <c r="K576" s="138">
        <f>I576*J576</f>
        <v>0.37323299999999998</v>
      </c>
    </row>
    <row r="577" spans="1:11" ht="24.75">
      <c r="A577" s="136" t="s">
        <v>1208</v>
      </c>
      <c r="B577" s="137" t="s">
        <v>792</v>
      </c>
      <c r="C577" s="137" t="s">
        <v>698</v>
      </c>
      <c r="D577" s="137">
        <v>20078</v>
      </c>
      <c r="E577" s="136" t="s">
        <v>410</v>
      </c>
      <c r="F577" s="1033" t="s">
        <v>1703</v>
      </c>
      <c r="G577" s="1034"/>
      <c r="H577" s="137" t="s">
        <v>411</v>
      </c>
      <c r="I577" s="136">
        <v>2.5000000000000001E-2</v>
      </c>
      <c r="J577" s="136">
        <v>31.44</v>
      </c>
      <c r="K577" s="138">
        <f>I577*J577</f>
        <v>0.78600000000000003</v>
      </c>
    </row>
    <row r="578" spans="1:11">
      <c r="A578" s="856"/>
      <c r="B578" s="137" t="s">
        <v>792</v>
      </c>
      <c r="C578" s="137" t="s">
        <v>698</v>
      </c>
      <c r="D578" s="857">
        <v>20083</v>
      </c>
      <c r="E578" s="856" t="s">
        <v>2508</v>
      </c>
      <c r="F578" s="1033" t="s">
        <v>1703</v>
      </c>
      <c r="G578" s="1034"/>
      <c r="H578" s="857" t="s">
        <v>411</v>
      </c>
      <c r="I578" s="856">
        <v>7.4999999999999997E-3</v>
      </c>
      <c r="J578" s="856">
        <v>86.3</v>
      </c>
      <c r="K578" s="138">
        <f t="shared" ref="K578:K583" si="60">I578*J578</f>
        <v>0.64724999999999999</v>
      </c>
    </row>
    <row r="579" spans="1:11">
      <c r="A579" s="136" t="s">
        <v>1208</v>
      </c>
      <c r="B579" s="857" t="s">
        <v>792</v>
      </c>
      <c r="C579" s="857" t="s">
        <v>698</v>
      </c>
      <c r="D579" s="137">
        <v>20085</v>
      </c>
      <c r="E579" s="136" t="s">
        <v>1832</v>
      </c>
      <c r="F579" s="1033" t="s">
        <v>1703</v>
      </c>
      <c r="G579" s="1034"/>
      <c r="H579" s="137" t="s">
        <v>411</v>
      </c>
      <c r="I579" s="136">
        <v>1</v>
      </c>
      <c r="J579" s="136">
        <v>2.59</v>
      </c>
      <c r="K579" s="138">
        <f t="shared" si="60"/>
        <v>2.59</v>
      </c>
    </row>
    <row r="580" spans="1:11">
      <c r="A580" s="856"/>
      <c r="B580" s="857" t="s">
        <v>792</v>
      </c>
      <c r="C580" s="857" t="s">
        <v>698</v>
      </c>
      <c r="D580" s="857">
        <v>38383</v>
      </c>
      <c r="E580" s="856" t="s">
        <v>2509</v>
      </c>
      <c r="F580" s="1033" t="s">
        <v>1703</v>
      </c>
      <c r="G580" s="1034"/>
      <c r="H580" s="857" t="s">
        <v>411</v>
      </c>
      <c r="I580" s="856">
        <v>1.2999999999999999E-2</v>
      </c>
      <c r="J580" s="856">
        <v>2.13</v>
      </c>
      <c r="K580" s="138">
        <f t="shared" si="60"/>
        <v>2.7689999999999996E-2</v>
      </c>
    </row>
    <row r="581" spans="1:11" ht="24.75">
      <c r="A581" s="136" t="s">
        <v>1208</v>
      </c>
      <c r="B581" s="137" t="s">
        <v>792</v>
      </c>
      <c r="C581" s="137" t="s">
        <v>698</v>
      </c>
      <c r="D581" s="137">
        <v>38418</v>
      </c>
      <c r="E581" s="136" t="s">
        <v>549</v>
      </c>
      <c r="F581" s="1033" t="s">
        <v>1703</v>
      </c>
      <c r="G581" s="1034"/>
      <c r="H581" s="137" t="s">
        <v>411</v>
      </c>
      <c r="I581" s="136">
        <v>1</v>
      </c>
      <c r="J581" s="136">
        <v>7.27</v>
      </c>
      <c r="K581" s="138">
        <f t="shared" si="60"/>
        <v>7.27</v>
      </c>
    </row>
    <row r="582" spans="1:11">
      <c r="A582" s="136" t="s">
        <v>1208</v>
      </c>
      <c r="B582" s="137" t="s">
        <v>1705</v>
      </c>
      <c r="C582" s="137" t="s">
        <v>698</v>
      </c>
      <c r="D582" s="137">
        <v>88248</v>
      </c>
      <c r="E582" s="136" t="s">
        <v>505</v>
      </c>
      <c r="F582" s="1033" t="s">
        <v>1706</v>
      </c>
      <c r="G582" s="1034"/>
      <c r="H582" s="137" t="s">
        <v>412</v>
      </c>
      <c r="I582" s="136">
        <v>3.61E-2</v>
      </c>
      <c r="J582" s="136">
        <v>26.14</v>
      </c>
      <c r="K582" s="138">
        <f t="shared" si="60"/>
        <v>0.94365399999999999</v>
      </c>
    </row>
    <row r="583" spans="1:11">
      <c r="A583" s="136" t="s">
        <v>1208</v>
      </c>
      <c r="B583" s="137" t="s">
        <v>1705</v>
      </c>
      <c r="C583" s="137" t="s">
        <v>698</v>
      </c>
      <c r="D583" s="137">
        <v>88267</v>
      </c>
      <c r="E583" s="136" t="s">
        <v>506</v>
      </c>
      <c r="F583" s="1033" t="s">
        <v>1706</v>
      </c>
      <c r="G583" s="1034"/>
      <c r="H583" s="137" t="s">
        <v>412</v>
      </c>
      <c r="I583" s="136">
        <v>3.61E-2</v>
      </c>
      <c r="J583" s="136">
        <v>32.130000000000003</v>
      </c>
      <c r="K583" s="138">
        <f t="shared" si="60"/>
        <v>1.1598930000000001</v>
      </c>
    </row>
    <row r="584" spans="1:11">
      <c r="A584" s="139"/>
      <c r="E584" s="139"/>
      <c r="F584" s="139"/>
      <c r="I584" s="139"/>
      <c r="J584" s="139"/>
      <c r="K584" s="140"/>
    </row>
    <row r="585" spans="1:11">
      <c r="A585" s="128"/>
      <c r="B585" s="129" t="s">
        <v>1691</v>
      </c>
      <c r="C585" s="129" t="s">
        <v>1692</v>
      </c>
      <c r="D585" s="129" t="s">
        <v>1693</v>
      </c>
      <c r="E585" s="130" t="s">
        <v>0</v>
      </c>
      <c r="F585" s="130" t="s">
        <v>1694</v>
      </c>
      <c r="G585" s="129"/>
      <c r="H585" s="129" t="s">
        <v>1695</v>
      </c>
      <c r="I585" s="130" t="s">
        <v>1696</v>
      </c>
      <c r="J585" s="130" t="s">
        <v>1697</v>
      </c>
      <c r="K585" s="131" t="s">
        <v>1698</v>
      </c>
    </row>
    <row r="586" spans="1:11" ht="50.1" customHeight="1">
      <c r="A586" s="132" t="s">
        <v>1834</v>
      </c>
      <c r="B586" s="133" t="s">
        <v>1700</v>
      </c>
      <c r="C586" s="133" t="s">
        <v>698</v>
      </c>
      <c r="D586" s="133">
        <v>89567</v>
      </c>
      <c r="E586" s="134" t="s">
        <v>554</v>
      </c>
      <c r="F586" s="134" t="s">
        <v>516</v>
      </c>
      <c r="G586" s="133"/>
      <c r="H586" s="133" t="s">
        <v>411</v>
      </c>
      <c r="I586" s="134"/>
      <c r="J586" s="146"/>
      <c r="K586" s="135">
        <f>SUM(K587:K591)</f>
        <v>91.241459000000006</v>
      </c>
    </row>
    <row r="587" spans="1:11">
      <c r="A587" s="136" t="s">
        <v>1208</v>
      </c>
      <c r="B587" s="137" t="s">
        <v>792</v>
      </c>
      <c r="C587" s="137" t="s">
        <v>698</v>
      </c>
      <c r="D587" s="137">
        <v>301</v>
      </c>
      <c r="E587" s="136" t="s">
        <v>1835</v>
      </c>
      <c r="F587" s="1033" t="s">
        <v>1703</v>
      </c>
      <c r="G587" s="1034"/>
      <c r="H587" s="137" t="s">
        <v>411</v>
      </c>
      <c r="I587" s="136">
        <v>3</v>
      </c>
      <c r="J587" s="136">
        <v>4.0999999999999996</v>
      </c>
      <c r="K587" s="138">
        <f>I587*J587</f>
        <v>12.299999999999999</v>
      </c>
    </row>
    <row r="588" spans="1:11" ht="24.75">
      <c r="A588" s="136" t="s">
        <v>1208</v>
      </c>
      <c r="B588" s="137" t="s">
        <v>792</v>
      </c>
      <c r="C588" s="137" t="s">
        <v>698</v>
      </c>
      <c r="D588" s="137">
        <v>20078</v>
      </c>
      <c r="E588" s="136" t="s">
        <v>410</v>
      </c>
      <c r="F588" s="1033" t="s">
        <v>1703</v>
      </c>
      <c r="G588" s="1034"/>
      <c r="H588" s="137" t="s">
        <v>411</v>
      </c>
      <c r="I588" s="136">
        <v>0.17249999999999999</v>
      </c>
      <c r="J588" s="136">
        <v>31.4</v>
      </c>
      <c r="K588" s="138">
        <f t="shared" ref="K588:K591" si="61">I588*J588</f>
        <v>5.4164999999999992</v>
      </c>
    </row>
    <row r="589" spans="1:11">
      <c r="A589" s="136" t="s">
        <v>1208</v>
      </c>
      <c r="B589" s="137" t="s">
        <v>792</v>
      </c>
      <c r="C589" s="137" t="s">
        <v>698</v>
      </c>
      <c r="D589" s="137">
        <v>20144</v>
      </c>
      <c r="E589" s="136" t="s">
        <v>555</v>
      </c>
      <c r="F589" s="1033" t="s">
        <v>1703</v>
      </c>
      <c r="G589" s="1034"/>
      <c r="H589" s="137" t="s">
        <v>411</v>
      </c>
      <c r="I589" s="136">
        <v>1</v>
      </c>
      <c r="J589" s="136">
        <v>63.52</v>
      </c>
      <c r="K589" s="138">
        <f t="shared" si="61"/>
        <v>63.52</v>
      </c>
    </row>
    <row r="590" spans="1:11">
      <c r="A590" s="136" t="s">
        <v>1208</v>
      </c>
      <c r="B590" s="137" t="s">
        <v>1705</v>
      </c>
      <c r="C590" s="137" t="s">
        <v>698</v>
      </c>
      <c r="D590" s="137">
        <v>88248</v>
      </c>
      <c r="E590" s="136" t="s">
        <v>505</v>
      </c>
      <c r="F590" s="1033" t="s">
        <v>1706</v>
      </c>
      <c r="G590" s="1034"/>
      <c r="H590" s="137" t="s">
        <v>412</v>
      </c>
      <c r="I590" s="136">
        <v>0.17169999999999999</v>
      </c>
      <c r="J590" s="136">
        <v>26.14</v>
      </c>
      <c r="K590" s="138">
        <f t="shared" si="61"/>
        <v>4.4882379999999999</v>
      </c>
    </row>
    <row r="591" spans="1:11">
      <c r="A591" s="136" t="s">
        <v>1208</v>
      </c>
      <c r="B591" s="137" t="s">
        <v>1705</v>
      </c>
      <c r="C591" s="137" t="s">
        <v>698</v>
      </c>
      <c r="D591" s="137">
        <v>88267</v>
      </c>
      <c r="E591" s="136" t="s">
        <v>506</v>
      </c>
      <c r="F591" s="1033" t="s">
        <v>1706</v>
      </c>
      <c r="G591" s="1034"/>
      <c r="H591" s="137" t="s">
        <v>412</v>
      </c>
      <c r="I591" s="136">
        <v>0.17169999999999999</v>
      </c>
      <c r="J591" s="136">
        <v>32.130000000000003</v>
      </c>
      <c r="K591" s="138">
        <f t="shared" si="61"/>
        <v>5.5167210000000004</v>
      </c>
    </row>
    <row r="592" spans="1:11">
      <c r="A592" s="139"/>
      <c r="E592" s="139"/>
      <c r="F592" s="139"/>
      <c r="I592" s="139"/>
      <c r="J592" s="139"/>
      <c r="K592" s="140"/>
    </row>
    <row r="593" spans="1:11">
      <c r="A593" s="128"/>
      <c r="B593" s="129" t="s">
        <v>1691</v>
      </c>
      <c r="C593" s="129" t="s">
        <v>1692</v>
      </c>
      <c r="D593" s="129" t="s">
        <v>1693</v>
      </c>
      <c r="E593" s="130" t="s">
        <v>0</v>
      </c>
      <c r="F593" s="130" t="s">
        <v>1694</v>
      </c>
      <c r="G593" s="129"/>
      <c r="H593" s="129" t="s">
        <v>1695</v>
      </c>
      <c r="I593" s="130" t="s">
        <v>1696</v>
      </c>
      <c r="J593" s="130" t="s">
        <v>1697</v>
      </c>
      <c r="K593" s="131" t="s">
        <v>1698</v>
      </c>
    </row>
    <row r="594" spans="1:11" ht="50.1" customHeight="1">
      <c r="A594" s="132" t="s">
        <v>1836</v>
      </c>
      <c r="B594" s="133" t="s">
        <v>1700</v>
      </c>
      <c r="C594" s="133" t="s">
        <v>698</v>
      </c>
      <c r="D594" s="133">
        <v>89518</v>
      </c>
      <c r="E594" s="134" t="s">
        <v>541</v>
      </c>
      <c r="F594" s="134" t="s">
        <v>516</v>
      </c>
      <c r="G594" s="133"/>
      <c r="H594" s="133" t="s">
        <v>411</v>
      </c>
      <c r="I594" s="134"/>
      <c r="J594" s="146"/>
      <c r="K594" s="135">
        <f>SUM(K595:K599)</f>
        <v>19.848989</v>
      </c>
    </row>
    <row r="595" spans="1:11" ht="24.75">
      <c r="A595" s="136" t="s">
        <v>1208</v>
      </c>
      <c r="B595" s="137" t="s">
        <v>792</v>
      </c>
      <c r="C595" s="137" t="s">
        <v>698</v>
      </c>
      <c r="D595" s="137">
        <v>20078</v>
      </c>
      <c r="E595" s="136" t="s">
        <v>410</v>
      </c>
      <c r="F595" s="1033" t="s">
        <v>1703</v>
      </c>
      <c r="G595" s="1034"/>
      <c r="H595" s="137" t="s">
        <v>411</v>
      </c>
      <c r="I595" s="136">
        <v>0.05</v>
      </c>
      <c r="J595" s="136">
        <v>31.44</v>
      </c>
      <c r="K595" s="138">
        <f>I595*J595</f>
        <v>1.5720000000000001</v>
      </c>
    </row>
    <row r="596" spans="1:11">
      <c r="A596" s="136" t="s">
        <v>1208</v>
      </c>
      <c r="B596" s="137" t="s">
        <v>792</v>
      </c>
      <c r="C596" s="137" t="s">
        <v>698</v>
      </c>
      <c r="D596" s="137">
        <v>20085</v>
      </c>
      <c r="E596" s="136" t="s">
        <v>1832</v>
      </c>
      <c r="F596" s="1033" t="s">
        <v>1703</v>
      </c>
      <c r="G596" s="1034"/>
      <c r="H596" s="137" t="s">
        <v>411</v>
      </c>
      <c r="I596" s="136">
        <v>2</v>
      </c>
      <c r="J596" s="136">
        <v>2.59</v>
      </c>
      <c r="K596" s="138">
        <f t="shared" ref="K596:K599" si="62">I596*J596</f>
        <v>5.18</v>
      </c>
    </row>
    <row r="597" spans="1:11">
      <c r="A597" s="136" t="s">
        <v>1208</v>
      </c>
      <c r="B597" s="137" t="s">
        <v>792</v>
      </c>
      <c r="C597" s="137" t="s">
        <v>698</v>
      </c>
      <c r="D597" s="137">
        <v>20155</v>
      </c>
      <c r="E597" s="136" t="s">
        <v>542</v>
      </c>
      <c r="F597" s="1033" t="s">
        <v>1703</v>
      </c>
      <c r="G597" s="1034"/>
      <c r="H597" s="137" t="s">
        <v>411</v>
      </c>
      <c r="I597" s="136">
        <v>1</v>
      </c>
      <c r="J597" s="136">
        <v>9.56</v>
      </c>
      <c r="K597" s="138">
        <f t="shared" si="62"/>
        <v>9.56</v>
      </c>
    </row>
    <row r="598" spans="1:11">
      <c r="A598" s="136" t="s">
        <v>1208</v>
      </c>
      <c r="B598" s="137" t="s">
        <v>1705</v>
      </c>
      <c r="C598" s="137" t="s">
        <v>698</v>
      </c>
      <c r="D598" s="137">
        <v>88248</v>
      </c>
      <c r="E598" s="136" t="s">
        <v>505</v>
      </c>
      <c r="F598" s="1033" t="s">
        <v>1706</v>
      </c>
      <c r="G598" s="1034"/>
      <c r="H598" s="137" t="s">
        <v>412</v>
      </c>
      <c r="I598" s="136">
        <v>6.0699999999999997E-2</v>
      </c>
      <c r="J598" s="136">
        <v>26.14</v>
      </c>
      <c r="K598" s="138">
        <f t="shared" si="62"/>
        <v>1.5866979999999999</v>
      </c>
    </row>
    <row r="599" spans="1:11">
      <c r="A599" s="136" t="s">
        <v>1208</v>
      </c>
      <c r="B599" s="137" t="s">
        <v>1705</v>
      </c>
      <c r="C599" s="137" t="s">
        <v>698</v>
      </c>
      <c r="D599" s="137">
        <v>88267</v>
      </c>
      <c r="E599" s="136" t="s">
        <v>506</v>
      </c>
      <c r="F599" s="1033" t="s">
        <v>1706</v>
      </c>
      <c r="G599" s="1034"/>
      <c r="H599" s="137" t="s">
        <v>412</v>
      </c>
      <c r="I599" s="136">
        <v>6.0699999999999997E-2</v>
      </c>
      <c r="J599" s="136">
        <v>32.130000000000003</v>
      </c>
      <c r="K599" s="138">
        <f t="shared" si="62"/>
        <v>1.950291</v>
      </c>
    </row>
    <row r="600" spans="1:11">
      <c r="A600" s="139"/>
      <c r="E600" s="139"/>
      <c r="F600" s="139"/>
      <c r="I600" s="139"/>
      <c r="J600" s="139"/>
      <c r="K600" s="140"/>
    </row>
    <row r="601" spans="1:11">
      <c r="A601" s="128"/>
      <c r="B601" s="129" t="s">
        <v>1691</v>
      </c>
      <c r="C601" s="129" t="s">
        <v>1692</v>
      </c>
      <c r="D601" s="129" t="s">
        <v>1693</v>
      </c>
      <c r="E601" s="130" t="s">
        <v>0</v>
      </c>
      <c r="F601" s="130" t="s">
        <v>1694</v>
      </c>
      <c r="G601" s="129"/>
      <c r="H601" s="129" t="s">
        <v>1695</v>
      </c>
      <c r="I601" s="130" t="s">
        <v>1696</v>
      </c>
      <c r="J601" s="130" t="s">
        <v>1697</v>
      </c>
      <c r="K601" s="131" t="s">
        <v>1698</v>
      </c>
    </row>
    <row r="602" spans="1:11" ht="50.1" customHeight="1">
      <c r="A602" s="132" t="s">
        <v>1837</v>
      </c>
      <c r="B602" s="133" t="s">
        <v>1700</v>
      </c>
      <c r="C602" s="133" t="s">
        <v>698</v>
      </c>
      <c r="D602" s="133">
        <v>89529</v>
      </c>
      <c r="E602" s="134" t="s">
        <v>525</v>
      </c>
      <c r="F602" s="134" t="s">
        <v>516</v>
      </c>
      <c r="G602" s="133"/>
      <c r="H602" s="133" t="s">
        <v>411</v>
      </c>
      <c r="I602" s="134"/>
      <c r="J602" s="146"/>
      <c r="K602" s="135">
        <f>SUM(K603:K608)</f>
        <v>60.030776000000003</v>
      </c>
    </row>
    <row r="603" spans="1:11">
      <c r="A603" s="136" t="s">
        <v>1208</v>
      </c>
      <c r="B603" s="137" t="s">
        <v>792</v>
      </c>
      <c r="C603" s="137" t="s">
        <v>698</v>
      </c>
      <c r="D603" s="137">
        <v>299</v>
      </c>
      <c r="E603" s="136" t="s">
        <v>2510</v>
      </c>
      <c r="F603" s="1033" t="s">
        <v>1703</v>
      </c>
      <c r="G603" s="1034"/>
      <c r="H603" s="137" t="s">
        <v>411</v>
      </c>
      <c r="I603" s="136">
        <v>2</v>
      </c>
      <c r="J603" s="136">
        <v>4.0999999999999996</v>
      </c>
      <c r="K603" s="138">
        <f>I603*J603</f>
        <v>8.1999999999999993</v>
      </c>
    </row>
    <row r="604" spans="1:11">
      <c r="A604" s="856"/>
      <c r="B604" s="857" t="s">
        <v>792</v>
      </c>
      <c r="C604" s="857" t="s">
        <v>698</v>
      </c>
      <c r="D604" s="857">
        <v>301</v>
      </c>
      <c r="E604" s="856" t="s">
        <v>1835</v>
      </c>
      <c r="F604" s="1033" t="s">
        <v>1703</v>
      </c>
      <c r="G604" s="1034"/>
      <c r="H604" s="857" t="s">
        <v>411</v>
      </c>
      <c r="I604" s="856">
        <v>2</v>
      </c>
      <c r="J604" s="856">
        <v>3.5</v>
      </c>
      <c r="K604" s="138">
        <f t="shared" ref="K604:K608" si="63">I604*J604</f>
        <v>7</v>
      </c>
    </row>
    <row r="605" spans="1:11" ht="24.75">
      <c r="A605" s="136" t="s">
        <v>1208</v>
      </c>
      <c r="B605" s="137" t="s">
        <v>792</v>
      </c>
      <c r="C605" s="857" t="s">
        <v>698</v>
      </c>
      <c r="D605" s="137">
        <v>20078</v>
      </c>
      <c r="E605" s="136" t="s">
        <v>410</v>
      </c>
      <c r="F605" s="1033" t="s">
        <v>1703</v>
      </c>
      <c r="G605" s="1034"/>
      <c r="H605" s="137" t="s">
        <v>411</v>
      </c>
      <c r="I605" s="136">
        <v>0.115</v>
      </c>
      <c r="J605" s="136">
        <v>31.44</v>
      </c>
      <c r="K605" s="138">
        <f t="shared" si="63"/>
        <v>3.6156000000000001</v>
      </c>
    </row>
    <row r="606" spans="1:11">
      <c r="A606" s="136" t="s">
        <v>1208</v>
      </c>
      <c r="B606" s="137" t="s">
        <v>792</v>
      </c>
      <c r="C606" s="137" t="s">
        <v>698</v>
      </c>
      <c r="D606" s="137">
        <v>20157</v>
      </c>
      <c r="E606" s="136" t="s">
        <v>545</v>
      </c>
      <c r="F606" s="1033" t="s">
        <v>1703</v>
      </c>
      <c r="G606" s="1034"/>
      <c r="H606" s="137" t="s">
        <v>411</v>
      </c>
      <c r="I606" s="136">
        <v>1</v>
      </c>
      <c r="J606" s="136">
        <v>33.71</v>
      </c>
      <c r="K606" s="138">
        <f t="shared" si="63"/>
        <v>33.71</v>
      </c>
    </row>
    <row r="607" spans="1:11">
      <c r="A607" s="136" t="s">
        <v>1208</v>
      </c>
      <c r="B607" s="137" t="s">
        <v>1705</v>
      </c>
      <c r="C607" s="137" t="s">
        <v>698</v>
      </c>
      <c r="D607" s="137">
        <v>88248</v>
      </c>
      <c r="E607" s="136" t="s">
        <v>505</v>
      </c>
      <c r="F607" s="1033" t="s">
        <v>1706</v>
      </c>
      <c r="G607" s="1034"/>
      <c r="H607" s="137" t="s">
        <v>412</v>
      </c>
      <c r="I607" s="136">
        <v>0.1288</v>
      </c>
      <c r="J607" s="136">
        <v>26.14</v>
      </c>
      <c r="K607" s="138">
        <f t="shared" si="63"/>
        <v>3.366832</v>
      </c>
    </row>
    <row r="608" spans="1:11">
      <c r="A608" s="136" t="s">
        <v>1208</v>
      </c>
      <c r="B608" s="137" t="s">
        <v>1705</v>
      </c>
      <c r="C608" s="137" t="s">
        <v>698</v>
      </c>
      <c r="D608" s="137">
        <v>88267</v>
      </c>
      <c r="E608" s="136" t="s">
        <v>506</v>
      </c>
      <c r="F608" s="1033" t="s">
        <v>1706</v>
      </c>
      <c r="G608" s="1034"/>
      <c r="H608" s="137" t="s">
        <v>412</v>
      </c>
      <c r="I608" s="136">
        <v>0.1288</v>
      </c>
      <c r="J608" s="136">
        <v>32.130000000000003</v>
      </c>
      <c r="K608" s="138">
        <f t="shared" si="63"/>
        <v>4.138344</v>
      </c>
    </row>
    <row r="609" spans="1:11">
      <c r="A609" s="139"/>
      <c r="E609" s="139"/>
      <c r="F609" s="139"/>
      <c r="I609" s="139"/>
      <c r="J609" s="139"/>
      <c r="K609" s="140"/>
    </row>
    <row r="610" spans="1:11">
      <c r="A610" s="128"/>
      <c r="B610" s="129" t="s">
        <v>1691</v>
      </c>
      <c r="C610" s="129" t="s">
        <v>1692</v>
      </c>
      <c r="D610" s="129" t="s">
        <v>1693</v>
      </c>
      <c r="E610" s="130" t="s">
        <v>0</v>
      </c>
      <c r="F610" s="130" t="s">
        <v>1694</v>
      </c>
      <c r="G610" s="129"/>
      <c r="H610" s="129" t="s">
        <v>1695</v>
      </c>
      <c r="I610" s="130" t="s">
        <v>1696</v>
      </c>
      <c r="J610" s="130" t="s">
        <v>1697</v>
      </c>
      <c r="K610" s="131" t="s">
        <v>1698</v>
      </c>
    </row>
    <row r="611" spans="1:11" ht="50.1" customHeight="1">
      <c r="A611" s="132" t="s">
        <v>1838</v>
      </c>
      <c r="B611" s="133" t="s">
        <v>1700</v>
      </c>
      <c r="C611" s="133" t="s">
        <v>698</v>
      </c>
      <c r="D611" s="133">
        <v>89516</v>
      </c>
      <c r="E611" s="134" t="s">
        <v>539</v>
      </c>
      <c r="F611" s="134" t="s">
        <v>516</v>
      </c>
      <c r="G611" s="133"/>
      <c r="H611" s="133" t="s">
        <v>411</v>
      </c>
      <c r="I611" s="134"/>
      <c r="J611" s="146"/>
      <c r="K611" s="135">
        <f>SUM(K612:K617)</f>
        <v>9.7915550000000007</v>
      </c>
    </row>
    <row r="612" spans="1:11">
      <c r="A612" s="136" t="s">
        <v>1208</v>
      </c>
      <c r="B612" s="137" t="s">
        <v>792</v>
      </c>
      <c r="C612" s="137" t="s">
        <v>698</v>
      </c>
      <c r="D612" s="137">
        <v>122</v>
      </c>
      <c r="E612" s="136" t="s">
        <v>1827</v>
      </c>
      <c r="F612" s="1033" t="s">
        <v>1703</v>
      </c>
      <c r="G612" s="1034"/>
      <c r="H612" s="137" t="s">
        <v>411</v>
      </c>
      <c r="I612" s="136">
        <v>9.9000000000000008E-3</v>
      </c>
      <c r="J612" s="136">
        <v>76.17</v>
      </c>
      <c r="K612" s="138">
        <v>0.75</v>
      </c>
    </row>
    <row r="613" spans="1:11">
      <c r="A613" s="136" t="s">
        <v>1208</v>
      </c>
      <c r="B613" s="137" t="s">
        <v>792</v>
      </c>
      <c r="C613" s="137" t="s">
        <v>698</v>
      </c>
      <c r="D613" s="137">
        <v>20083</v>
      </c>
      <c r="E613" s="136" t="s">
        <v>1828</v>
      </c>
      <c r="F613" s="1033" t="s">
        <v>1703</v>
      </c>
      <c r="G613" s="1034"/>
      <c r="H613" s="137" t="s">
        <v>411</v>
      </c>
      <c r="I613" s="136">
        <v>1.4999999999999999E-2</v>
      </c>
      <c r="J613" s="136">
        <v>86.3</v>
      </c>
      <c r="K613" s="138">
        <v>1.29</v>
      </c>
    </row>
    <row r="614" spans="1:11">
      <c r="A614" s="136" t="s">
        <v>1208</v>
      </c>
      <c r="B614" s="137" t="s">
        <v>792</v>
      </c>
      <c r="C614" s="137" t="s">
        <v>698</v>
      </c>
      <c r="D614" s="137">
        <v>20148</v>
      </c>
      <c r="E614" s="136" t="s">
        <v>540</v>
      </c>
      <c r="F614" s="1033" t="s">
        <v>1703</v>
      </c>
      <c r="G614" s="1034"/>
      <c r="H614" s="137" t="s">
        <v>411</v>
      </c>
      <c r="I614" s="136">
        <v>1</v>
      </c>
      <c r="J614" s="136">
        <v>4.97</v>
      </c>
      <c r="K614" s="138">
        <f t="shared" ref="K614:K617" si="64">I614*J614</f>
        <v>4.97</v>
      </c>
    </row>
    <row r="615" spans="1:11">
      <c r="A615" s="136" t="s">
        <v>1208</v>
      </c>
      <c r="B615" s="137" t="s">
        <v>792</v>
      </c>
      <c r="C615" s="137" t="s">
        <v>698</v>
      </c>
      <c r="D615" s="137">
        <v>38383</v>
      </c>
      <c r="E615" s="136" t="s">
        <v>1825</v>
      </c>
      <c r="F615" s="1033" t="s">
        <v>1703</v>
      </c>
      <c r="G615" s="1034"/>
      <c r="H615" s="137" t="s">
        <v>411</v>
      </c>
      <c r="I615" s="136">
        <v>2.5999999999999999E-2</v>
      </c>
      <c r="J615" s="136">
        <v>2.13</v>
      </c>
      <c r="K615" s="138">
        <f t="shared" si="64"/>
        <v>5.5379999999999992E-2</v>
      </c>
    </row>
    <row r="616" spans="1:11">
      <c r="A616" s="136" t="s">
        <v>1208</v>
      </c>
      <c r="B616" s="137" t="s">
        <v>1705</v>
      </c>
      <c r="C616" s="137" t="s">
        <v>698</v>
      </c>
      <c r="D616" s="137">
        <v>88248</v>
      </c>
      <c r="E616" s="136" t="s">
        <v>505</v>
      </c>
      <c r="F616" s="1033" t="s">
        <v>1706</v>
      </c>
      <c r="G616" s="1034"/>
      <c r="H616" s="137" t="s">
        <v>412</v>
      </c>
      <c r="I616" s="136">
        <v>4.7500000000000001E-2</v>
      </c>
      <c r="J616" s="136">
        <v>26.14</v>
      </c>
      <c r="K616" s="138">
        <v>1.2</v>
      </c>
    </row>
    <row r="617" spans="1:11">
      <c r="A617" s="136" t="s">
        <v>1208</v>
      </c>
      <c r="B617" s="137" t="s">
        <v>1705</v>
      </c>
      <c r="C617" s="137" t="s">
        <v>698</v>
      </c>
      <c r="D617" s="137">
        <v>88267</v>
      </c>
      <c r="E617" s="136" t="s">
        <v>506</v>
      </c>
      <c r="F617" s="1033" t="s">
        <v>1706</v>
      </c>
      <c r="G617" s="1034"/>
      <c r="H617" s="137" t="s">
        <v>412</v>
      </c>
      <c r="I617" s="136">
        <v>4.7500000000000001E-2</v>
      </c>
      <c r="J617" s="136">
        <v>32.130000000000003</v>
      </c>
      <c r="K617" s="138">
        <f t="shared" si="64"/>
        <v>1.5261750000000001</v>
      </c>
    </row>
    <row r="618" spans="1:11">
      <c r="A618" s="139"/>
      <c r="E618" s="139"/>
      <c r="F618" s="139"/>
      <c r="I618" s="139"/>
      <c r="J618" s="139"/>
      <c r="K618" s="140"/>
    </row>
    <row r="619" spans="1:11">
      <c r="A619" s="128"/>
      <c r="B619" s="129" t="s">
        <v>1691</v>
      </c>
      <c r="C619" s="129" t="s">
        <v>1692</v>
      </c>
      <c r="D619" s="129" t="s">
        <v>1693</v>
      </c>
      <c r="E619" s="130" t="s">
        <v>0</v>
      </c>
      <c r="F619" s="130" t="s">
        <v>1694</v>
      </c>
      <c r="G619" s="129"/>
      <c r="H619" s="129" t="s">
        <v>1695</v>
      </c>
      <c r="I619" s="130" t="s">
        <v>1696</v>
      </c>
      <c r="J619" s="130" t="s">
        <v>1697</v>
      </c>
      <c r="K619" s="131" t="s">
        <v>1698</v>
      </c>
    </row>
    <row r="620" spans="1:11" ht="50.1" customHeight="1">
      <c r="A620" s="132" t="s">
        <v>1839</v>
      </c>
      <c r="B620" s="133" t="s">
        <v>1700</v>
      </c>
      <c r="C620" s="133" t="s">
        <v>698</v>
      </c>
      <c r="D620" s="133">
        <v>89520</v>
      </c>
      <c r="E620" s="134" t="s">
        <v>543</v>
      </c>
      <c r="F620" s="134" t="s">
        <v>516</v>
      </c>
      <c r="G620" s="133"/>
      <c r="H620" s="133" t="s">
        <v>411</v>
      </c>
      <c r="I620" s="134"/>
      <c r="J620" s="146">
        <f>K620</f>
        <v>17.978988999999999</v>
      </c>
      <c r="K620" s="135">
        <f>SUM(K621:K625)</f>
        <v>17.978988999999999</v>
      </c>
    </row>
    <row r="621" spans="1:11" ht="24.75">
      <c r="A621" s="136" t="s">
        <v>1208</v>
      </c>
      <c r="B621" s="137" t="s">
        <v>792</v>
      </c>
      <c r="C621" s="137" t="s">
        <v>698</v>
      </c>
      <c r="D621" s="137">
        <v>20078</v>
      </c>
      <c r="E621" s="136" t="s">
        <v>410</v>
      </c>
      <c r="F621" s="1033" t="s">
        <v>1703</v>
      </c>
      <c r="G621" s="1034"/>
      <c r="H621" s="137" t="s">
        <v>411</v>
      </c>
      <c r="I621" s="136">
        <v>0.05</v>
      </c>
      <c r="J621" s="136">
        <v>31.44</v>
      </c>
      <c r="K621" s="138">
        <f>I621*J621</f>
        <v>1.5720000000000001</v>
      </c>
    </row>
    <row r="622" spans="1:11">
      <c r="A622" s="136" t="s">
        <v>1208</v>
      </c>
      <c r="B622" s="137" t="s">
        <v>792</v>
      </c>
      <c r="C622" s="137" t="s">
        <v>698</v>
      </c>
      <c r="D622" s="137">
        <v>20085</v>
      </c>
      <c r="E622" s="136" t="s">
        <v>1832</v>
      </c>
      <c r="F622" s="1033" t="s">
        <v>1703</v>
      </c>
      <c r="G622" s="1034"/>
      <c r="H622" s="137" t="s">
        <v>411</v>
      </c>
      <c r="I622" s="136">
        <v>2</v>
      </c>
      <c r="J622" s="136">
        <v>2.59</v>
      </c>
      <c r="K622" s="138">
        <f t="shared" ref="K622:K625" si="65">I622*J622</f>
        <v>5.18</v>
      </c>
    </row>
    <row r="623" spans="1:11">
      <c r="A623" s="136" t="s">
        <v>1208</v>
      </c>
      <c r="B623" s="137" t="s">
        <v>792</v>
      </c>
      <c r="C623" s="137" t="s">
        <v>698</v>
      </c>
      <c r="D623" s="137">
        <v>20149</v>
      </c>
      <c r="E623" s="136" t="s">
        <v>544</v>
      </c>
      <c r="F623" s="1033" t="s">
        <v>1703</v>
      </c>
      <c r="G623" s="1034"/>
      <c r="H623" s="137" t="s">
        <v>411</v>
      </c>
      <c r="I623" s="136">
        <v>1</v>
      </c>
      <c r="J623" s="136">
        <v>7.69</v>
      </c>
      <c r="K623" s="138">
        <f t="shared" si="65"/>
        <v>7.69</v>
      </c>
    </row>
    <row r="624" spans="1:11">
      <c r="A624" s="136" t="s">
        <v>1208</v>
      </c>
      <c r="B624" s="137" t="s">
        <v>1705</v>
      </c>
      <c r="C624" s="137" t="s">
        <v>698</v>
      </c>
      <c r="D624" s="137">
        <v>88248</v>
      </c>
      <c r="E624" s="136" t="s">
        <v>505</v>
      </c>
      <c r="F624" s="1033" t="s">
        <v>1706</v>
      </c>
      <c r="G624" s="1034"/>
      <c r="H624" s="137" t="s">
        <v>412</v>
      </c>
      <c r="I624" s="136">
        <v>6.0699999999999997E-2</v>
      </c>
      <c r="J624" s="136">
        <v>26.14</v>
      </c>
      <c r="K624" s="138">
        <f t="shared" si="65"/>
        <v>1.5866979999999999</v>
      </c>
    </row>
    <row r="625" spans="1:11">
      <c r="A625" s="136" t="s">
        <v>1208</v>
      </c>
      <c r="B625" s="137" t="s">
        <v>1705</v>
      </c>
      <c r="C625" s="137" t="s">
        <v>698</v>
      </c>
      <c r="D625" s="137">
        <v>88267</v>
      </c>
      <c r="E625" s="136" t="s">
        <v>506</v>
      </c>
      <c r="F625" s="1033" t="s">
        <v>1706</v>
      </c>
      <c r="G625" s="1034"/>
      <c r="H625" s="137" t="s">
        <v>412</v>
      </c>
      <c r="I625" s="136">
        <v>6.0699999999999997E-2</v>
      </c>
      <c r="J625" s="136">
        <v>32.130000000000003</v>
      </c>
      <c r="K625" s="138">
        <f t="shared" si="65"/>
        <v>1.950291</v>
      </c>
    </row>
    <row r="626" spans="1:11">
      <c r="A626" s="139"/>
      <c r="E626" s="139"/>
      <c r="F626" s="139"/>
      <c r="I626" s="139"/>
      <c r="J626" s="139"/>
      <c r="K626" s="140"/>
    </row>
    <row r="627" spans="1:11">
      <c r="A627" s="128"/>
      <c r="B627" s="129" t="s">
        <v>1691</v>
      </c>
      <c r="C627" s="129" t="s">
        <v>1692</v>
      </c>
      <c r="D627" s="129" t="s">
        <v>1693</v>
      </c>
      <c r="E627" s="130" t="s">
        <v>0</v>
      </c>
      <c r="F627" s="130" t="s">
        <v>1694</v>
      </c>
      <c r="G627" s="129"/>
      <c r="H627" s="129" t="s">
        <v>1695</v>
      </c>
      <c r="I627" s="130" t="s">
        <v>1696</v>
      </c>
      <c r="J627" s="130" t="s">
        <v>1697</v>
      </c>
      <c r="K627" s="131" t="s">
        <v>1698</v>
      </c>
    </row>
    <row r="628" spans="1:11" ht="50.1" customHeight="1">
      <c r="A628" s="132" t="s">
        <v>1840</v>
      </c>
      <c r="B628" s="133" t="s">
        <v>1700</v>
      </c>
      <c r="C628" s="133" t="s">
        <v>698</v>
      </c>
      <c r="D628" s="133">
        <v>89531</v>
      </c>
      <c r="E628" s="134" t="s">
        <v>546</v>
      </c>
      <c r="F628" s="134" t="s">
        <v>516</v>
      </c>
      <c r="G628" s="133"/>
      <c r="H628" s="133" t="s">
        <v>411</v>
      </c>
      <c r="I628" s="134"/>
      <c r="J628" s="146">
        <f>K628</f>
        <v>44.310776000000004</v>
      </c>
      <c r="K628" s="135">
        <f>SUM(K629:K633)</f>
        <v>44.310776000000004</v>
      </c>
    </row>
    <row r="629" spans="1:11">
      <c r="A629" s="136" t="s">
        <v>1208</v>
      </c>
      <c r="B629" s="137" t="s">
        <v>792</v>
      </c>
      <c r="C629" s="137" t="s">
        <v>698</v>
      </c>
      <c r="D629" s="137">
        <v>301</v>
      </c>
      <c r="E629" s="136" t="s">
        <v>1835</v>
      </c>
      <c r="F629" s="1033" t="s">
        <v>1703</v>
      </c>
      <c r="G629" s="1034"/>
      <c r="H629" s="137" t="s">
        <v>411</v>
      </c>
      <c r="I629" s="136">
        <v>2</v>
      </c>
      <c r="J629" s="136">
        <v>4.0999999999999996</v>
      </c>
      <c r="K629" s="138">
        <f>J629*I629</f>
        <v>8.1999999999999993</v>
      </c>
    </row>
    <row r="630" spans="1:11" ht="24.75">
      <c r="A630" s="136" t="s">
        <v>1208</v>
      </c>
      <c r="B630" s="137" t="s">
        <v>792</v>
      </c>
      <c r="C630" s="137" t="s">
        <v>698</v>
      </c>
      <c r="D630" s="137">
        <v>20078</v>
      </c>
      <c r="E630" s="136" t="s">
        <v>410</v>
      </c>
      <c r="F630" s="1033" t="s">
        <v>1703</v>
      </c>
      <c r="G630" s="1034"/>
      <c r="H630" s="137" t="s">
        <v>411</v>
      </c>
      <c r="I630" s="136">
        <v>0.115</v>
      </c>
      <c r="J630" s="136">
        <v>31.44</v>
      </c>
      <c r="K630" s="138">
        <f t="shared" ref="K630:K633" si="66">J630*I630</f>
        <v>3.6156000000000001</v>
      </c>
    </row>
    <row r="631" spans="1:11">
      <c r="A631" s="136" t="s">
        <v>1208</v>
      </c>
      <c r="B631" s="137" t="s">
        <v>792</v>
      </c>
      <c r="C631" s="137" t="s">
        <v>698</v>
      </c>
      <c r="D631" s="137">
        <v>20151</v>
      </c>
      <c r="E631" s="136" t="s">
        <v>547</v>
      </c>
      <c r="F631" s="1033" t="s">
        <v>1703</v>
      </c>
      <c r="G631" s="1034"/>
      <c r="H631" s="137" t="s">
        <v>411</v>
      </c>
      <c r="I631" s="136">
        <v>1</v>
      </c>
      <c r="J631" s="136">
        <v>24.99</v>
      </c>
      <c r="K631" s="138">
        <f t="shared" si="66"/>
        <v>24.99</v>
      </c>
    </row>
    <row r="632" spans="1:11">
      <c r="A632" s="136" t="s">
        <v>1208</v>
      </c>
      <c r="B632" s="137" t="s">
        <v>1705</v>
      </c>
      <c r="C632" s="137" t="s">
        <v>698</v>
      </c>
      <c r="D632" s="137">
        <v>88248</v>
      </c>
      <c r="E632" s="136" t="s">
        <v>505</v>
      </c>
      <c r="F632" s="1033" t="s">
        <v>1706</v>
      </c>
      <c r="G632" s="1034"/>
      <c r="H632" s="137" t="s">
        <v>412</v>
      </c>
      <c r="I632" s="136">
        <v>0.1288</v>
      </c>
      <c r="J632" s="136">
        <v>26.14</v>
      </c>
      <c r="K632" s="138">
        <f t="shared" si="66"/>
        <v>3.366832</v>
      </c>
    </row>
    <row r="633" spans="1:11">
      <c r="A633" s="136" t="s">
        <v>1208</v>
      </c>
      <c r="B633" s="137" t="s">
        <v>1705</v>
      </c>
      <c r="C633" s="137" t="s">
        <v>698</v>
      </c>
      <c r="D633" s="137">
        <v>88267</v>
      </c>
      <c r="E633" s="136" t="s">
        <v>506</v>
      </c>
      <c r="F633" s="1033" t="s">
        <v>1706</v>
      </c>
      <c r="G633" s="1034"/>
      <c r="H633" s="137" t="s">
        <v>412</v>
      </c>
      <c r="I633" s="136">
        <v>0.1288</v>
      </c>
      <c r="J633" s="136">
        <v>32.130000000000003</v>
      </c>
      <c r="K633" s="138">
        <f t="shared" si="66"/>
        <v>4.138344</v>
      </c>
    </row>
    <row r="634" spans="1:11">
      <c r="A634" s="139"/>
      <c r="E634" s="139"/>
      <c r="F634" s="139"/>
      <c r="I634" s="139"/>
      <c r="J634" s="139"/>
      <c r="K634" s="140"/>
    </row>
    <row r="635" spans="1:11">
      <c r="A635" s="128"/>
      <c r="B635" s="129" t="s">
        <v>1691</v>
      </c>
      <c r="C635" s="129" t="s">
        <v>1692</v>
      </c>
      <c r="D635" s="129" t="s">
        <v>1693</v>
      </c>
      <c r="E635" s="130" t="s">
        <v>0</v>
      </c>
      <c r="F635" s="130" t="s">
        <v>1694</v>
      </c>
      <c r="G635" s="129"/>
      <c r="H635" s="129" t="s">
        <v>1695</v>
      </c>
      <c r="I635" s="130" t="s">
        <v>1696</v>
      </c>
      <c r="J635" s="130" t="s">
        <v>1697</v>
      </c>
      <c r="K635" s="131" t="s">
        <v>1698</v>
      </c>
    </row>
    <row r="636" spans="1:11" ht="50.1" customHeight="1">
      <c r="A636" s="132" t="s">
        <v>1841</v>
      </c>
      <c r="B636" s="133" t="s">
        <v>1700</v>
      </c>
      <c r="C636" s="133" t="s">
        <v>698</v>
      </c>
      <c r="D636" s="133">
        <v>89623</v>
      </c>
      <c r="E636" s="134" t="s">
        <v>523</v>
      </c>
      <c r="F636" s="134" t="s">
        <v>516</v>
      </c>
      <c r="G636" s="133"/>
      <c r="H636" s="133" t="s">
        <v>411</v>
      </c>
      <c r="I636" s="134"/>
      <c r="J636" s="146">
        <f>K636</f>
        <v>24.19096</v>
      </c>
      <c r="K636" s="135">
        <f>SUM(K637:K642)</f>
        <v>24.19096</v>
      </c>
    </row>
    <row r="637" spans="1:11">
      <c r="A637" s="136" t="s">
        <v>1208</v>
      </c>
      <c r="B637" s="137" t="s">
        <v>792</v>
      </c>
      <c r="C637" s="137" t="s">
        <v>698</v>
      </c>
      <c r="D637" s="137">
        <v>122</v>
      </c>
      <c r="E637" s="136" t="s">
        <v>1827</v>
      </c>
      <c r="F637" s="1033" t="s">
        <v>1703</v>
      </c>
      <c r="G637" s="1034"/>
      <c r="H637" s="137" t="s">
        <v>411</v>
      </c>
      <c r="I637" s="136">
        <v>1.7600000000000001E-2</v>
      </c>
      <c r="J637" s="136">
        <v>76.17</v>
      </c>
      <c r="K637" s="138">
        <f>I637*J637</f>
        <v>1.340592</v>
      </c>
    </row>
    <row r="638" spans="1:11">
      <c r="A638" s="136" t="s">
        <v>1208</v>
      </c>
      <c r="B638" s="137" t="s">
        <v>792</v>
      </c>
      <c r="C638" s="137" t="s">
        <v>698</v>
      </c>
      <c r="D638" s="137">
        <v>7141</v>
      </c>
      <c r="E638" s="136" t="s">
        <v>1842</v>
      </c>
      <c r="F638" s="1033" t="s">
        <v>1703</v>
      </c>
      <c r="G638" s="1034"/>
      <c r="H638" s="137" t="s">
        <v>411</v>
      </c>
      <c r="I638" s="136">
        <v>1</v>
      </c>
      <c r="J638" s="136">
        <v>12.83</v>
      </c>
      <c r="K638" s="138">
        <f t="shared" ref="K638:K642" si="67">I638*J638</f>
        <v>12.83</v>
      </c>
    </row>
    <row r="639" spans="1:11">
      <c r="A639" s="136" t="s">
        <v>1208</v>
      </c>
      <c r="B639" s="137" t="s">
        <v>792</v>
      </c>
      <c r="C639" s="137" t="s">
        <v>698</v>
      </c>
      <c r="D639" s="137">
        <v>20083</v>
      </c>
      <c r="E639" s="136" t="s">
        <v>1828</v>
      </c>
      <c r="F639" s="1033" t="s">
        <v>1703</v>
      </c>
      <c r="G639" s="1034"/>
      <c r="H639" s="137" t="s">
        <v>411</v>
      </c>
      <c r="I639" s="136">
        <v>2.1000000000000001E-2</v>
      </c>
      <c r="J639" s="136">
        <v>86.3</v>
      </c>
      <c r="K639" s="138">
        <f t="shared" si="67"/>
        <v>1.8123</v>
      </c>
    </row>
    <row r="640" spans="1:11">
      <c r="A640" s="136" t="s">
        <v>1208</v>
      </c>
      <c r="B640" s="137" t="s">
        <v>792</v>
      </c>
      <c r="C640" s="137" t="s">
        <v>698</v>
      </c>
      <c r="D640" s="137">
        <v>38383</v>
      </c>
      <c r="E640" s="136" t="s">
        <v>1825</v>
      </c>
      <c r="F640" s="1033" t="s">
        <v>1703</v>
      </c>
      <c r="G640" s="1034"/>
      <c r="H640" s="137" t="s">
        <v>411</v>
      </c>
      <c r="I640" s="136">
        <v>2.3599999999999999E-2</v>
      </c>
      <c r="J640" s="136">
        <v>2.13</v>
      </c>
      <c r="K640" s="138">
        <f t="shared" si="67"/>
        <v>5.0267999999999993E-2</v>
      </c>
    </row>
    <row r="641" spans="1:11">
      <c r="A641" s="136" t="s">
        <v>1208</v>
      </c>
      <c r="B641" s="137" t="s">
        <v>1705</v>
      </c>
      <c r="C641" s="137" t="s">
        <v>698</v>
      </c>
      <c r="D641" s="137">
        <v>88248</v>
      </c>
      <c r="E641" s="136" t="s">
        <v>505</v>
      </c>
      <c r="F641" s="1033" t="s">
        <v>1706</v>
      </c>
      <c r="G641" s="1034"/>
      <c r="H641" s="137" t="s">
        <v>412</v>
      </c>
      <c r="I641" s="136">
        <v>0.14000000000000001</v>
      </c>
      <c r="J641" s="136">
        <v>26.14</v>
      </c>
      <c r="K641" s="138">
        <f t="shared" si="67"/>
        <v>3.6596000000000006</v>
      </c>
    </row>
    <row r="642" spans="1:11">
      <c r="A642" s="136" t="s">
        <v>1208</v>
      </c>
      <c r="B642" s="137" t="s">
        <v>1705</v>
      </c>
      <c r="C642" s="137" t="s">
        <v>698</v>
      </c>
      <c r="D642" s="137">
        <v>88267</v>
      </c>
      <c r="E642" s="136" t="s">
        <v>506</v>
      </c>
      <c r="F642" s="1033" t="s">
        <v>1706</v>
      </c>
      <c r="G642" s="1034"/>
      <c r="H642" s="137" t="s">
        <v>412</v>
      </c>
      <c r="I642" s="136">
        <v>0.14000000000000001</v>
      </c>
      <c r="J642" s="136">
        <v>32.130000000000003</v>
      </c>
      <c r="K642" s="138">
        <f t="shared" si="67"/>
        <v>4.4982000000000006</v>
      </c>
    </row>
    <row r="643" spans="1:11">
      <c r="A643" s="139"/>
      <c r="E643" s="139"/>
      <c r="F643" s="139"/>
      <c r="I643" s="139"/>
      <c r="J643" s="139"/>
      <c r="K643" s="140"/>
    </row>
    <row r="644" spans="1:11">
      <c r="A644" s="128"/>
      <c r="B644" s="129" t="s">
        <v>1691</v>
      </c>
      <c r="C644" s="129" t="s">
        <v>1692</v>
      </c>
      <c r="D644" s="129" t="s">
        <v>1693</v>
      </c>
      <c r="E644" s="130" t="s">
        <v>0</v>
      </c>
      <c r="F644" s="130" t="s">
        <v>1694</v>
      </c>
      <c r="G644" s="129"/>
      <c r="H644" s="129" t="s">
        <v>1695</v>
      </c>
      <c r="I644" s="130" t="s">
        <v>1696</v>
      </c>
      <c r="J644" s="130" t="s">
        <v>1697</v>
      </c>
      <c r="K644" s="131" t="s">
        <v>1698</v>
      </c>
    </row>
    <row r="645" spans="1:11" ht="50.1" customHeight="1">
      <c r="A645" s="132" t="s">
        <v>1843</v>
      </c>
      <c r="B645" s="133" t="s">
        <v>1700</v>
      </c>
      <c r="C645" s="133" t="s">
        <v>698</v>
      </c>
      <c r="D645" s="133">
        <v>89626</v>
      </c>
      <c r="E645" s="134" t="s">
        <v>524</v>
      </c>
      <c r="F645" s="134" t="s">
        <v>516</v>
      </c>
      <c r="G645" s="133"/>
      <c r="H645" s="133" t="s">
        <v>411</v>
      </c>
      <c r="I645" s="134"/>
      <c r="J645" s="146"/>
      <c r="K645" s="135">
        <f>SUM(K646:K651)</f>
        <v>38.386569999999999</v>
      </c>
    </row>
    <row r="646" spans="1:11">
      <c r="A646" s="136" t="s">
        <v>1208</v>
      </c>
      <c r="B646" s="137" t="s">
        <v>792</v>
      </c>
      <c r="C646" s="137" t="s">
        <v>698</v>
      </c>
      <c r="D646" s="137">
        <v>122</v>
      </c>
      <c r="E646" s="136" t="s">
        <v>1827</v>
      </c>
      <c r="F646" s="1033" t="s">
        <v>1703</v>
      </c>
      <c r="G646" s="1034"/>
      <c r="H646" s="137" t="s">
        <v>411</v>
      </c>
      <c r="I646" s="136">
        <v>2.12E-2</v>
      </c>
      <c r="J646" s="136">
        <v>76.17</v>
      </c>
      <c r="K646" s="138">
        <f>I646*J646</f>
        <v>1.6148040000000001</v>
      </c>
    </row>
    <row r="647" spans="1:11">
      <c r="A647" s="136" t="s">
        <v>1208</v>
      </c>
      <c r="B647" s="137" t="s">
        <v>792</v>
      </c>
      <c r="C647" s="137" t="s">
        <v>698</v>
      </c>
      <c r="D647" s="137">
        <v>7131</v>
      </c>
      <c r="E647" s="136" t="s">
        <v>1844</v>
      </c>
      <c r="F647" s="1033" t="s">
        <v>1703</v>
      </c>
      <c r="G647" s="1034"/>
      <c r="H647" s="137" t="s">
        <v>411</v>
      </c>
      <c r="I647" s="136">
        <v>1</v>
      </c>
      <c r="J647" s="136">
        <v>25.37</v>
      </c>
      <c r="K647" s="138">
        <f t="shared" ref="K647:K651" si="68">I647*J647</f>
        <v>25.37</v>
      </c>
    </row>
    <row r="648" spans="1:11">
      <c r="A648" s="136" t="s">
        <v>1208</v>
      </c>
      <c r="B648" s="137" t="s">
        <v>792</v>
      </c>
      <c r="C648" s="137" t="s">
        <v>698</v>
      </c>
      <c r="D648" s="137">
        <v>20083</v>
      </c>
      <c r="E648" s="136" t="s">
        <v>1828</v>
      </c>
      <c r="F648" s="1033" t="s">
        <v>1703</v>
      </c>
      <c r="G648" s="1034"/>
      <c r="H648" s="137" t="s">
        <v>411</v>
      </c>
      <c r="I648" s="136">
        <v>2.7E-2</v>
      </c>
      <c r="J648" s="136">
        <v>86.3</v>
      </c>
      <c r="K648" s="138">
        <f t="shared" si="68"/>
        <v>2.3300999999999998</v>
      </c>
    </row>
    <row r="649" spans="1:11">
      <c r="A649" s="136" t="s">
        <v>1208</v>
      </c>
      <c r="B649" s="137" t="s">
        <v>792</v>
      </c>
      <c r="C649" s="137" t="s">
        <v>698</v>
      </c>
      <c r="D649" s="137">
        <v>38383</v>
      </c>
      <c r="E649" s="136" t="s">
        <v>1825</v>
      </c>
      <c r="F649" s="1033" t="s">
        <v>1703</v>
      </c>
      <c r="G649" s="1034"/>
      <c r="H649" s="137" t="s">
        <v>411</v>
      </c>
      <c r="I649" s="136">
        <v>2.69E-2</v>
      </c>
      <c r="J649" s="136">
        <v>2.13</v>
      </c>
      <c r="K649" s="138">
        <f t="shared" si="68"/>
        <v>5.7297000000000001E-2</v>
      </c>
    </row>
    <row r="650" spans="1:11">
      <c r="A650" s="136" t="s">
        <v>1208</v>
      </c>
      <c r="B650" s="137" t="s">
        <v>1705</v>
      </c>
      <c r="C650" s="137" t="s">
        <v>698</v>
      </c>
      <c r="D650" s="137">
        <v>88248</v>
      </c>
      <c r="E650" s="136" t="s">
        <v>505</v>
      </c>
      <c r="F650" s="1033" t="s">
        <v>1706</v>
      </c>
      <c r="G650" s="1034"/>
      <c r="H650" s="137" t="s">
        <v>412</v>
      </c>
      <c r="I650" s="136">
        <v>0.1547</v>
      </c>
      <c r="J650" s="136">
        <v>26.14</v>
      </c>
      <c r="K650" s="138">
        <f t="shared" si="68"/>
        <v>4.0438580000000002</v>
      </c>
    </row>
    <row r="651" spans="1:11">
      <c r="A651" s="136" t="s">
        <v>1208</v>
      </c>
      <c r="B651" s="137" t="s">
        <v>1705</v>
      </c>
      <c r="C651" s="137" t="s">
        <v>698</v>
      </c>
      <c r="D651" s="137">
        <v>88267</v>
      </c>
      <c r="E651" s="136" t="s">
        <v>506</v>
      </c>
      <c r="F651" s="1033" t="s">
        <v>1706</v>
      </c>
      <c r="G651" s="1034"/>
      <c r="H651" s="137" t="s">
        <v>412</v>
      </c>
      <c r="I651" s="136">
        <v>0.1547</v>
      </c>
      <c r="J651" s="136">
        <v>32.130000000000003</v>
      </c>
      <c r="K651" s="138">
        <f t="shared" si="68"/>
        <v>4.9705110000000001</v>
      </c>
    </row>
    <row r="652" spans="1:11">
      <c r="A652" s="139"/>
      <c r="E652" s="139"/>
      <c r="F652" s="139"/>
      <c r="I652" s="139"/>
      <c r="J652" s="139"/>
      <c r="K652" s="140"/>
    </row>
    <row r="653" spans="1:11">
      <c r="A653" s="128"/>
      <c r="B653" s="129" t="s">
        <v>1691</v>
      </c>
      <c r="C653" s="129" t="s">
        <v>1692</v>
      </c>
      <c r="D653" s="129" t="s">
        <v>1693</v>
      </c>
      <c r="E653" s="130" t="s">
        <v>0</v>
      </c>
      <c r="F653" s="130" t="s">
        <v>1694</v>
      </c>
      <c r="G653" s="129"/>
      <c r="H653" s="129" t="s">
        <v>1695</v>
      </c>
      <c r="I653" s="130" t="s">
        <v>1696</v>
      </c>
      <c r="J653" s="130" t="s">
        <v>1697</v>
      </c>
      <c r="K653" s="131" t="s">
        <v>1698</v>
      </c>
    </row>
    <row r="654" spans="1:11" ht="50.1" customHeight="1">
      <c r="A654" s="132" t="s">
        <v>1845</v>
      </c>
      <c r="B654" s="133" t="s">
        <v>1700</v>
      </c>
      <c r="C654" s="133" t="s">
        <v>698</v>
      </c>
      <c r="D654" s="133">
        <v>89482</v>
      </c>
      <c r="E654" s="134" t="s">
        <v>424</v>
      </c>
      <c r="F654" s="134" t="s">
        <v>516</v>
      </c>
      <c r="G654" s="133"/>
      <c r="H654" s="133" t="s">
        <v>411</v>
      </c>
      <c r="I654" s="134"/>
      <c r="J654" s="146"/>
      <c r="K654" s="135">
        <f>SUM(K655:K662)</f>
        <v>52.518373000000004</v>
      </c>
    </row>
    <row r="655" spans="1:11">
      <c r="A655" s="136" t="s">
        <v>1208</v>
      </c>
      <c r="B655" s="137" t="s">
        <v>792</v>
      </c>
      <c r="C655" s="137" t="s">
        <v>698</v>
      </c>
      <c r="D655" s="137">
        <v>122</v>
      </c>
      <c r="E655" s="136" t="s">
        <v>1827</v>
      </c>
      <c r="F655" s="1033" t="s">
        <v>1703</v>
      </c>
      <c r="G655" s="1034"/>
      <c r="H655" s="137" t="s">
        <v>411</v>
      </c>
      <c r="I655" s="136">
        <v>2.92E-2</v>
      </c>
      <c r="J655" s="136">
        <v>76.17</v>
      </c>
      <c r="K655" s="138">
        <f>I655*J655</f>
        <v>2.224164</v>
      </c>
    </row>
    <row r="656" spans="1:11">
      <c r="A656" s="136" t="s">
        <v>1208</v>
      </c>
      <c r="B656" s="137" t="s">
        <v>792</v>
      </c>
      <c r="C656" s="137" t="s">
        <v>698</v>
      </c>
      <c r="D656" s="137">
        <v>5103</v>
      </c>
      <c r="E656" s="136" t="s">
        <v>1846</v>
      </c>
      <c r="F656" s="1033" t="s">
        <v>1703</v>
      </c>
      <c r="G656" s="1034"/>
      <c r="H656" s="137" t="s">
        <v>411</v>
      </c>
      <c r="I656" s="136">
        <v>1</v>
      </c>
      <c r="J656" s="136">
        <v>30.59</v>
      </c>
      <c r="K656" s="138">
        <f t="shared" ref="K656:K662" si="69">I656*J656</f>
        <v>30.59</v>
      </c>
    </row>
    <row r="657" spans="1:11" ht="24.75">
      <c r="A657" s="136" t="s">
        <v>1208</v>
      </c>
      <c r="B657" s="137" t="s">
        <v>792</v>
      </c>
      <c r="C657" s="137" t="s">
        <v>698</v>
      </c>
      <c r="D657" s="137">
        <v>20078</v>
      </c>
      <c r="E657" s="136" t="s">
        <v>410</v>
      </c>
      <c r="F657" s="1033" t="s">
        <v>1703</v>
      </c>
      <c r="G657" s="1034"/>
      <c r="H657" s="137" t="s">
        <v>411</v>
      </c>
      <c r="I657" s="136">
        <v>0.02</v>
      </c>
      <c r="J657" s="136">
        <v>31.44</v>
      </c>
      <c r="K657" s="138">
        <f t="shared" si="69"/>
        <v>0.62880000000000003</v>
      </c>
    </row>
    <row r="658" spans="1:11">
      <c r="A658" s="136" t="s">
        <v>1208</v>
      </c>
      <c r="B658" s="137" t="s">
        <v>792</v>
      </c>
      <c r="C658" s="137" t="s">
        <v>698</v>
      </c>
      <c r="D658" s="137">
        <v>20083</v>
      </c>
      <c r="E658" s="136" t="s">
        <v>1828</v>
      </c>
      <c r="F658" s="1033" t="s">
        <v>1703</v>
      </c>
      <c r="G658" s="1034"/>
      <c r="H658" s="137" t="s">
        <v>411</v>
      </c>
      <c r="I658" s="136">
        <v>4.3999999999999997E-2</v>
      </c>
      <c r="J658" s="136">
        <v>86.3</v>
      </c>
      <c r="K658" s="138">
        <f t="shared" si="69"/>
        <v>3.7971999999999997</v>
      </c>
    </row>
    <row r="659" spans="1:11">
      <c r="A659" s="136" t="s">
        <v>1208</v>
      </c>
      <c r="B659" s="137" t="s">
        <v>792</v>
      </c>
      <c r="C659" s="137" t="s">
        <v>698</v>
      </c>
      <c r="D659" s="137">
        <v>20085</v>
      </c>
      <c r="E659" s="136" t="s">
        <v>1832</v>
      </c>
      <c r="F659" s="1033" t="s">
        <v>1703</v>
      </c>
      <c r="G659" s="1034"/>
      <c r="H659" s="137" t="s">
        <v>411</v>
      </c>
      <c r="I659" s="136">
        <v>1</v>
      </c>
      <c r="J659" s="136">
        <v>2.59</v>
      </c>
      <c r="K659" s="138">
        <f t="shared" si="69"/>
        <v>2.59</v>
      </c>
    </row>
    <row r="660" spans="1:11">
      <c r="A660" s="136" t="s">
        <v>1208</v>
      </c>
      <c r="B660" s="137" t="s">
        <v>792</v>
      </c>
      <c r="C660" s="137" t="s">
        <v>698</v>
      </c>
      <c r="D660" s="137">
        <v>38383</v>
      </c>
      <c r="E660" s="136" t="s">
        <v>1825</v>
      </c>
      <c r="F660" s="1033" t="s">
        <v>1703</v>
      </c>
      <c r="G660" s="1034"/>
      <c r="H660" s="137" t="s">
        <v>411</v>
      </c>
      <c r="I660" s="136">
        <v>6.7999999999999996E-3</v>
      </c>
      <c r="J660" s="136">
        <v>2.13</v>
      </c>
      <c r="K660" s="138">
        <f t="shared" si="69"/>
        <v>1.4483999999999999E-2</v>
      </c>
    </row>
    <row r="661" spans="1:11">
      <c r="A661" s="136" t="s">
        <v>1208</v>
      </c>
      <c r="B661" s="137" t="s">
        <v>1705</v>
      </c>
      <c r="C661" s="137" t="s">
        <v>698</v>
      </c>
      <c r="D661" s="137">
        <v>88248</v>
      </c>
      <c r="E661" s="136" t="s">
        <v>505</v>
      </c>
      <c r="F661" s="1033" t="s">
        <v>1706</v>
      </c>
      <c r="G661" s="1034"/>
      <c r="H661" s="137" t="s">
        <v>412</v>
      </c>
      <c r="I661" s="136">
        <v>0.2175</v>
      </c>
      <c r="J661" s="136">
        <v>26.14</v>
      </c>
      <c r="K661" s="138">
        <f t="shared" si="69"/>
        <v>5.6854500000000003</v>
      </c>
    </row>
    <row r="662" spans="1:11">
      <c r="A662" s="136" t="s">
        <v>1208</v>
      </c>
      <c r="B662" s="137" t="s">
        <v>1705</v>
      </c>
      <c r="C662" s="137" t="s">
        <v>698</v>
      </c>
      <c r="D662" s="137">
        <v>88267</v>
      </c>
      <c r="E662" s="136" t="s">
        <v>506</v>
      </c>
      <c r="F662" s="1033" t="s">
        <v>1706</v>
      </c>
      <c r="G662" s="1034"/>
      <c r="H662" s="137" t="s">
        <v>412</v>
      </c>
      <c r="I662" s="136">
        <v>0.2175</v>
      </c>
      <c r="J662" s="136">
        <v>32.130000000000003</v>
      </c>
      <c r="K662" s="138">
        <f t="shared" si="69"/>
        <v>6.9882750000000007</v>
      </c>
    </row>
    <row r="663" spans="1:11">
      <c r="A663" s="139"/>
      <c r="E663" s="139"/>
      <c r="F663" s="139"/>
      <c r="I663" s="139"/>
      <c r="J663" s="139"/>
      <c r="K663" s="140"/>
    </row>
    <row r="664" spans="1:11">
      <c r="A664" s="128"/>
      <c r="B664" s="129" t="s">
        <v>1691</v>
      </c>
      <c r="C664" s="129" t="s">
        <v>1692</v>
      </c>
      <c r="D664" s="129" t="s">
        <v>1693</v>
      </c>
      <c r="E664" s="130" t="s">
        <v>0</v>
      </c>
      <c r="F664" s="130" t="s">
        <v>1694</v>
      </c>
      <c r="G664" s="129"/>
      <c r="H664" s="129" t="s">
        <v>1695</v>
      </c>
      <c r="I664" s="130" t="s">
        <v>1696</v>
      </c>
      <c r="J664" s="130" t="s">
        <v>1697</v>
      </c>
      <c r="K664" s="131" t="s">
        <v>1698</v>
      </c>
    </row>
    <row r="665" spans="1:11" ht="50.1" customHeight="1">
      <c r="A665" s="132" t="s">
        <v>1847</v>
      </c>
      <c r="B665" s="133" t="s">
        <v>1700</v>
      </c>
      <c r="C665" s="133" t="s">
        <v>698</v>
      </c>
      <c r="D665" s="133">
        <v>89495</v>
      </c>
      <c r="E665" s="134" t="s">
        <v>574</v>
      </c>
      <c r="F665" s="134" t="s">
        <v>516</v>
      </c>
      <c r="G665" s="133"/>
      <c r="H665" s="133" t="s">
        <v>411</v>
      </c>
      <c r="I665" s="134"/>
      <c r="J665" s="146"/>
      <c r="K665" s="135">
        <f>SUM(K666:K671)</f>
        <v>22.908586000000003</v>
      </c>
    </row>
    <row r="666" spans="1:11">
      <c r="A666" s="136" t="s">
        <v>1208</v>
      </c>
      <c r="B666" s="137" t="s">
        <v>792</v>
      </c>
      <c r="C666" s="137" t="s">
        <v>698</v>
      </c>
      <c r="D666" s="137">
        <v>122</v>
      </c>
      <c r="E666" s="136" t="s">
        <v>1827</v>
      </c>
      <c r="F666" s="1033" t="s">
        <v>1703</v>
      </c>
      <c r="G666" s="1034"/>
      <c r="H666" s="137" t="s">
        <v>411</v>
      </c>
      <c r="I666" s="136">
        <v>4.8999999999999998E-3</v>
      </c>
      <c r="J666" s="136">
        <v>76.17</v>
      </c>
      <c r="K666" s="138">
        <f>I666*J666</f>
        <v>0.37323299999999998</v>
      </c>
    </row>
    <row r="667" spans="1:11">
      <c r="A667" s="136" t="s">
        <v>1208</v>
      </c>
      <c r="B667" s="137" t="s">
        <v>792</v>
      </c>
      <c r="C667" s="137" t="s">
        <v>698</v>
      </c>
      <c r="D667" s="137">
        <v>11741</v>
      </c>
      <c r="E667" s="136" t="s">
        <v>1848</v>
      </c>
      <c r="F667" s="1033" t="s">
        <v>1703</v>
      </c>
      <c r="G667" s="1034"/>
      <c r="H667" s="137" t="s">
        <v>411</v>
      </c>
      <c r="I667" s="136">
        <v>1</v>
      </c>
      <c r="J667" s="136">
        <v>15.34</v>
      </c>
      <c r="K667" s="138">
        <f t="shared" ref="K667:K671" si="70">I667*J667</f>
        <v>15.34</v>
      </c>
    </row>
    <row r="668" spans="1:11">
      <c r="A668" s="136" t="s">
        <v>1208</v>
      </c>
      <c r="B668" s="137" t="s">
        <v>792</v>
      </c>
      <c r="C668" s="137" t="s">
        <v>698</v>
      </c>
      <c r="D668" s="137">
        <v>20083</v>
      </c>
      <c r="E668" s="136" t="s">
        <v>1828</v>
      </c>
      <c r="F668" s="1033" t="s">
        <v>1703</v>
      </c>
      <c r="G668" s="1034"/>
      <c r="H668" s="137" t="s">
        <v>411</v>
      </c>
      <c r="I668" s="136">
        <v>7.4999999999999997E-3</v>
      </c>
      <c r="J668" s="136">
        <v>86.3</v>
      </c>
      <c r="K668" s="138">
        <f t="shared" si="70"/>
        <v>0.64724999999999999</v>
      </c>
    </row>
    <row r="669" spans="1:11">
      <c r="A669" s="136" t="s">
        <v>1208</v>
      </c>
      <c r="B669" s="137" t="s">
        <v>792</v>
      </c>
      <c r="C669" s="137" t="s">
        <v>698</v>
      </c>
      <c r="D669" s="137">
        <v>38383</v>
      </c>
      <c r="E669" s="136" t="s">
        <v>1825</v>
      </c>
      <c r="F669" s="1033" t="s">
        <v>1703</v>
      </c>
      <c r="G669" s="1034"/>
      <c r="H669" s="137" t="s">
        <v>411</v>
      </c>
      <c r="I669" s="136">
        <v>1.2999999999999999E-2</v>
      </c>
      <c r="J669" s="136">
        <v>2.13</v>
      </c>
      <c r="K669" s="138">
        <f t="shared" si="70"/>
        <v>2.7689999999999996E-2</v>
      </c>
    </row>
    <row r="670" spans="1:11">
      <c r="A670" s="136" t="s">
        <v>1208</v>
      </c>
      <c r="B670" s="137" t="s">
        <v>1705</v>
      </c>
      <c r="C670" s="137" t="s">
        <v>698</v>
      </c>
      <c r="D670" s="137">
        <v>88248</v>
      </c>
      <c r="E670" s="136" t="s">
        <v>505</v>
      </c>
      <c r="F670" s="1033" t="s">
        <v>1706</v>
      </c>
      <c r="G670" s="1034"/>
      <c r="H670" s="137" t="s">
        <v>412</v>
      </c>
      <c r="I670" s="136">
        <v>0.1119</v>
      </c>
      <c r="J670" s="136">
        <v>26.14</v>
      </c>
      <c r="K670" s="138">
        <f t="shared" si="70"/>
        <v>2.9250660000000002</v>
      </c>
    </row>
    <row r="671" spans="1:11">
      <c r="A671" s="136" t="s">
        <v>1208</v>
      </c>
      <c r="B671" s="137" t="s">
        <v>1705</v>
      </c>
      <c r="C671" s="137" t="s">
        <v>698</v>
      </c>
      <c r="D671" s="137">
        <v>88267</v>
      </c>
      <c r="E671" s="136" t="s">
        <v>506</v>
      </c>
      <c r="F671" s="1033" t="s">
        <v>1706</v>
      </c>
      <c r="G671" s="1034"/>
      <c r="H671" s="137" t="s">
        <v>412</v>
      </c>
      <c r="I671" s="136">
        <v>0.1119</v>
      </c>
      <c r="J671" s="136">
        <v>32.130000000000003</v>
      </c>
      <c r="K671" s="138">
        <f t="shared" si="70"/>
        <v>3.5953470000000003</v>
      </c>
    </row>
    <row r="672" spans="1:11">
      <c r="A672" s="139"/>
      <c r="E672" s="139"/>
      <c r="F672" s="139"/>
      <c r="I672" s="139"/>
      <c r="J672" s="139"/>
      <c r="K672" s="140"/>
    </row>
    <row r="673" spans="1:11">
      <c r="A673" s="128"/>
      <c r="B673" s="129" t="s">
        <v>1691</v>
      </c>
      <c r="C673" s="129" t="s">
        <v>1692</v>
      </c>
      <c r="D673" s="129" t="s">
        <v>1693</v>
      </c>
      <c r="E673" s="130" t="s">
        <v>0</v>
      </c>
      <c r="F673" s="130" t="s">
        <v>1694</v>
      </c>
      <c r="G673" s="129"/>
      <c r="H673" s="129" t="s">
        <v>1695</v>
      </c>
      <c r="I673" s="130" t="s">
        <v>1696</v>
      </c>
      <c r="J673" s="130" t="s">
        <v>1697</v>
      </c>
      <c r="K673" s="131" t="s">
        <v>1698</v>
      </c>
    </row>
    <row r="674" spans="1:11" ht="50.1" customHeight="1">
      <c r="A674" s="132" t="s">
        <v>1849</v>
      </c>
      <c r="B674" s="133" t="s">
        <v>1700</v>
      </c>
      <c r="C674" s="133" t="s">
        <v>698</v>
      </c>
      <c r="D674" s="133">
        <v>102711</v>
      </c>
      <c r="E674" s="134" t="s">
        <v>816</v>
      </c>
      <c r="F674" s="134" t="s">
        <v>1850</v>
      </c>
      <c r="G674" s="133"/>
      <c r="H674" s="133" t="s">
        <v>411</v>
      </c>
      <c r="I674" s="134"/>
      <c r="J674" s="146"/>
      <c r="K674" s="135">
        <f>SUM(K675:K677)</f>
        <v>84.395663999999996</v>
      </c>
    </row>
    <row r="675" spans="1:11">
      <c r="A675" s="136" t="s">
        <v>1208</v>
      </c>
      <c r="B675" s="137" t="s">
        <v>792</v>
      </c>
      <c r="C675" s="137" t="s">
        <v>698</v>
      </c>
      <c r="D675" s="137">
        <v>3668</v>
      </c>
      <c r="E675" s="136" t="s">
        <v>686</v>
      </c>
      <c r="F675" s="1033" t="s">
        <v>1703</v>
      </c>
      <c r="G675" s="1034"/>
      <c r="H675" s="137" t="s">
        <v>411</v>
      </c>
      <c r="I675" s="136">
        <v>1</v>
      </c>
      <c r="J675" s="136">
        <v>42.69</v>
      </c>
      <c r="K675" s="138">
        <f>I675*J675</f>
        <v>42.69</v>
      </c>
    </row>
    <row r="676" spans="1:11">
      <c r="A676" s="136" t="s">
        <v>1208</v>
      </c>
      <c r="B676" s="137" t="s">
        <v>1705</v>
      </c>
      <c r="C676" s="137" t="s">
        <v>698</v>
      </c>
      <c r="D676" s="137">
        <v>88309</v>
      </c>
      <c r="E676" s="136" t="s">
        <v>445</v>
      </c>
      <c r="F676" s="1033" t="s">
        <v>1706</v>
      </c>
      <c r="G676" s="1034"/>
      <c r="H676" s="137" t="s">
        <v>412</v>
      </c>
      <c r="I676" s="136">
        <v>0.38219999999999998</v>
      </c>
      <c r="J676" s="136">
        <v>32.65</v>
      </c>
      <c r="K676" s="138">
        <f t="shared" ref="K676:K677" si="71">I676*J676</f>
        <v>12.478829999999999</v>
      </c>
    </row>
    <row r="677" spans="1:11">
      <c r="A677" s="136" t="s">
        <v>1208</v>
      </c>
      <c r="B677" s="137" t="s">
        <v>1705</v>
      </c>
      <c r="C677" s="137" t="s">
        <v>698</v>
      </c>
      <c r="D677" s="137">
        <v>88316</v>
      </c>
      <c r="E677" s="136" t="s">
        <v>414</v>
      </c>
      <c r="F677" s="1033" t="s">
        <v>1706</v>
      </c>
      <c r="G677" s="1034"/>
      <c r="H677" s="137" t="s">
        <v>412</v>
      </c>
      <c r="I677" s="136">
        <v>1.1466000000000001</v>
      </c>
      <c r="J677" s="136">
        <v>25.49</v>
      </c>
      <c r="K677" s="138">
        <f t="shared" si="71"/>
        <v>29.226834</v>
      </c>
    </row>
    <row r="678" spans="1:11">
      <c r="A678" s="139"/>
      <c r="E678" s="139"/>
      <c r="F678" s="139"/>
      <c r="I678" s="139"/>
      <c r="J678" s="139"/>
      <c r="K678" s="140"/>
    </row>
    <row r="679" spans="1:11">
      <c r="A679" s="128"/>
      <c r="B679" s="129" t="s">
        <v>1691</v>
      </c>
      <c r="C679" s="129" t="s">
        <v>1692</v>
      </c>
      <c r="D679" s="129" t="s">
        <v>1693</v>
      </c>
      <c r="E679" s="130" t="s">
        <v>0</v>
      </c>
      <c r="F679" s="130" t="s">
        <v>1694</v>
      </c>
      <c r="G679" s="129"/>
      <c r="H679" s="129" t="s">
        <v>1695</v>
      </c>
      <c r="I679" s="130" t="s">
        <v>1696</v>
      </c>
      <c r="J679" s="130" t="s">
        <v>1697</v>
      </c>
      <c r="K679" s="131" t="s">
        <v>1698</v>
      </c>
    </row>
    <row r="680" spans="1:11" ht="50.1" customHeight="1">
      <c r="A680" s="132" t="s">
        <v>1851</v>
      </c>
      <c r="B680" s="133" t="s">
        <v>1700</v>
      </c>
      <c r="C680" s="133" t="s">
        <v>698</v>
      </c>
      <c r="D680" s="133">
        <v>97605</v>
      </c>
      <c r="E680" s="134" t="s">
        <v>495</v>
      </c>
      <c r="F680" s="134" t="s">
        <v>1852</v>
      </c>
      <c r="G680" s="133"/>
      <c r="H680" s="133" t="s">
        <v>411</v>
      </c>
      <c r="I680" s="134"/>
      <c r="J680" s="146"/>
      <c r="K680" s="135">
        <f>SUM(K681:K684)</f>
        <v>73.787379999999999</v>
      </c>
    </row>
    <row r="681" spans="1:11">
      <c r="A681" s="136" t="s">
        <v>1208</v>
      </c>
      <c r="B681" s="137" t="s">
        <v>792</v>
      </c>
      <c r="C681" s="137" t="s">
        <v>698</v>
      </c>
      <c r="D681" s="137">
        <v>38193</v>
      </c>
      <c r="E681" s="136" t="s">
        <v>1853</v>
      </c>
      <c r="F681" s="1033" t="s">
        <v>1703</v>
      </c>
      <c r="G681" s="1034"/>
      <c r="H681" s="137" t="s">
        <v>411</v>
      </c>
      <c r="I681" s="136">
        <v>1</v>
      </c>
      <c r="J681" s="136">
        <v>6.91</v>
      </c>
      <c r="K681" s="138">
        <f>I681*J681</f>
        <v>6.91</v>
      </c>
    </row>
    <row r="682" spans="1:11" ht="24.75">
      <c r="A682" s="136" t="s">
        <v>1208</v>
      </c>
      <c r="B682" s="137" t="s">
        <v>792</v>
      </c>
      <c r="C682" s="137" t="s">
        <v>698</v>
      </c>
      <c r="D682" s="137">
        <v>38769</v>
      </c>
      <c r="E682" s="136" t="s">
        <v>496</v>
      </c>
      <c r="F682" s="1033" t="s">
        <v>1703</v>
      </c>
      <c r="G682" s="1034"/>
      <c r="H682" s="137" t="s">
        <v>411</v>
      </c>
      <c r="I682" s="136">
        <v>1</v>
      </c>
      <c r="J682" s="136">
        <v>45.95</v>
      </c>
      <c r="K682" s="138">
        <f t="shared" ref="K682:K684" si="72">I682*J682</f>
        <v>45.95</v>
      </c>
    </row>
    <row r="683" spans="1:11">
      <c r="A683" s="136" t="s">
        <v>1208</v>
      </c>
      <c r="B683" s="137" t="s">
        <v>1705</v>
      </c>
      <c r="C683" s="137" t="s">
        <v>698</v>
      </c>
      <c r="D683" s="137">
        <v>88247</v>
      </c>
      <c r="E683" s="136" t="s">
        <v>474</v>
      </c>
      <c r="F683" s="1033" t="s">
        <v>1706</v>
      </c>
      <c r="G683" s="1034"/>
      <c r="H683" s="137" t="s">
        <v>412</v>
      </c>
      <c r="I683" s="136">
        <v>0.19719999999999999</v>
      </c>
      <c r="J683" s="136">
        <v>26.96</v>
      </c>
      <c r="K683" s="138">
        <f t="shared" si="72"/>
        <v>5.3165119999999995</v>
      </c>
    </row>
    <row r="684" spans="1:11">
      <c r="A684" s="136" t="s">
        <v>1208</v>
      </c>
      <c r="B684" s="137" t="s">
        <v>1705</v>
      </c>
      <c r="C684" s="137" t="s">
        <v>698</v>
      </c>
      <c r="D684" s="137">
        <v>88264</v>
      </c>
      <c r="E684" s="136" t="s">
        <v>475</v>
      </c>
      <c r="F684" s="1033" t="s">
        <v>1706</v>
      </c>
      <c r="G684" s="1034"/>
      <c r="H684" s="137" t="s">
        <v>412</v>
      </c>
      <c r="I684" s="136">
        <v>0.47320000000000001</v>
      </c>
      <c r="J684" s="136">
        <v>32.99</v>
      </c>
      <c r="K684" s="138">
        <f t="shared" si="72"/>
        <v>15.610868000000002</v>
      </c>
    </row>
    <row r="685" spans="1:11">
      <c r="A685" s="139"/>
      <c r="E685" s="139"/>
      <c r="F685" s="139"/>
      <c r="I685" s="139"/>
      <c r="J685" s="139"/>
      <c r="K685" s="140"/>
    </row>
    <row r="686" spans="1:11">
      <c r="A686" s="128"/>
      <c r="B686" s="129" t="s">
        <v>1691</v>
      </c>
      <c r="C686" s="129" t="s">
        <v>1692</v>
      </c>
      <c r="D686" s="129" t="s">
        <v>1693</v>
      </c>
      <c r="E686" s="130" t="s">
        <v>0</v>
      </c>
      <c r="F686" s="130" t="s">
        <v>1694</v>
      </c>
      <c r="G686" s="129"/>
      <c r="H686" s="129" t="s">
        <v>1695</v>
      </c>
      <c r="I686" s="130" t="s">
        <v>1696</v>
      </c>
      <c r="J686" s="130" t="s">
        <v>1697</v>
      </c>
      <c r="K686" s="131" t="s">
        <v>1698</v>
      </c>
    </row>
    <row r="687" spans="1:11" ht="50.1" customHeight="1">
      <c r="A687" s="132" t="s">
        <v>1854</v>
      </c>
      <c r="B687" s="133" t="s">
        <v>1700</v>
      </c>
      <c r="C687" s="133" t="s">
        <v>698</v>
      </c>
      <c r="D687" s="133">
        <v>91953</v>
      </c>
      <c r="E687" s="134" t="s">
        <v>482</v>
      </c>
      <c r="F687" s="134" t="s">
        <v>1852</v>
      </c>
      <c r="G687" s="133"/>
      <c r="H687" s="133" t="s">
        <v>411</v>
      </c>
      <c r="I687" s="134"/>
      <c r="J687" s="146"/>
      <c r="K687" s="135">
        <f>SUM(K688:K689)</f>
        <v>28.93</v>
      </c>
    </row>
    <row r="688" spans="1:11" ht="24.75">
      <c r="A688" s="136" t="s">
        <v>1208</v>
      </c>
      <c r="B688" s="137" t="s">
        <v>1705</v>
      </c>
      <c r="C688" s="137" t="s">
        <v>698</v>
      </c>
      <c r="D688" s="137">
        <v>91946</v>
      </c>
      <c r="E688" s="136" t="s">
        <v>480</v>
      </c>
      <c r="F688" s="1033" t="s">
        <v>1855</v>
      </c>
      <c r="G688" s="1034"/>
      <c r="H688" s="137" t="s">
        <v>411</v>
      </c>
      <c r="I688" s="136">
        <v>1</v>
      </c>
      <c r="J688" s="136">
        <v>8.5399999999999991</v>
      </c>
      <c r="K688" s="138">
        <f>I688*J688</f>
        <v>8.5399999999999991</v>
      </c>
    </row>
    <row r="689" spans="1:11" ht="24.75">
      <c r="A689" s="136" t="s">
        <v>1208</v>
      </c>
      <c r="B689" s="137" t="s">
        <v>1705</v>
      </c>
      <c r="C689" s="137" t="s">
        <v>698</v>
      </c>
      <c r="D689" s="137">
        <v>91952</v>
      </c>
      <c r="E689" s="136" t="s">
        <v>481</v>
      </c>
      <c r="F689" s="1033" t="s">
        <v>1855</v>
      </c>
      <c r="G689" s="1034"/>
      <c r="H689" s="137" t="s">
        <v>411</v>
      </c>
      <c r="I689" s="136">
        <v>1</v>
      </c>
      <c r="J689" s="136">
        <v>20.39</v>
      </c>
      <c r="K689" s="138">
        <f>I689*J689</f>
        <v>20.39</v>
      </c>
    </row>
    <row r="690" spans="1:11">
      <c r="A690" s="139"/>
      <c r="E690" s="139"/>
      <c r="F690" s="139"/>
      <c r="I690" s="139"/>
      <c r="J690" s="139"/>
      <c r="K690" s="140"/>
    </row>
    <row r="691" spans="1:11">
      <c r="A691" s="128"/>
      <c r="B691" s="129" t="s">
        <v>1691</v>
      </c>
      <c r="C691" s="129" t="s">
        <v>1692</v>
      </c>
      <c r="D691" s="129" t="s">
        <v>1693</v>
      </c>
      <c r="E691" s="130" t="s">
        <v>0</v>
      </c>
      <c r="F691" s="130" t="s">
        <v>1694</v>
      </c>
      <c r="G691" s="129"/>
      <c r="H691" s="129" t="s">
        <v>1695</v>
      </c>
      <c r="I691" s="130" t="s">
        <v>1696</v>
      </c>
      <c r="J691" s="130" t="s">
        <v>1697</v>
      </c>
      <c r="K691" s="131" t="s">
        <v>1698</v>
      </c>
    </row>
    <row r="692" spans="1:11" ht="50.1" customHeight="1">
      <c r="A692" s="132" t="s">
        <v>1856</v>
      </c>
      <c r="B692" s="133" t="s">
        <v>1700</v>
      </c>
      <c r="C692" s="133" t="s">
        <v>698</v>
      </c>
      <c r="D692" s="133">
        <v>91959</v>
      </c>
      <c r="E692" s="134" t="s">
        <v>431</v>
      </c>
      <c r="F692" s="134" t="s">
        <v>1852</v>
      </c>
      <c r="G692" s="133"/>
      <c r="H692" s="133" t="s">
        <v>411</v>
      </c>
      <c r="I692" s="134"/>
      <c r="J692" s="146"/>
      <c r="K692" s="135">
        <f>SUM(K693:K694)</f>
        <v>45.73</v>
      </c>
    </row>
    <row r="693" spans="1:11" ht="24.75">
      <c r="A693" s="136" t="s">
        <v>1208</v>
      </c>
      <c r="B693" s="137" t="s">
        <v>1705</v>
      </c>
      <c r="C693" s="137" t="s">
        <v>698</v>
      </c>
      <c r="D693" s="137">
        <v>91946</v>
      </c>
      <c r="E693" s="136" t="s">
        <v>480</v>
      </c>
      <c r="F693" s="1033" t="s">
        <v>1855</v>
      </c>
      <c r="G693" s="1034"/>
      <c r="H693" s="137" t="s">
        <v>411</v>
      </c>
      <c r="I693" s="136">
        <v>1</v>
      </c>
      <c r="J693" s="136">
        <v>8.5399999999999991</v>
      </c>
      <c r="K693" s="138">
        <f>I693*J693</f>
        <v>8.5399999999999991</v>
      </c>
    </row>
    <row r="694" spans="1:11" ht="24.75">
      <c r="A694" s="136" t="s">
        <v>1208</v>
      </c>
      <c r="B694" s="137" t="s">
        <v>1705</v>
      </c>
      <c r="C694" s="137" t="s">
        <v>698</v>
      </c>
      <c r="D694" s="137">
        <v>91958</v>
      </c>
      <c r="E694" s="136" t="s">
        <v>483</v>
      </c>
      <c r="F694" s="1033" t="s">
        <v>1855</v>
      </c>
      <c r="G694" s="1034"/>
      <c r="H694" s="137" t="s">
        <v>411</v>
      </c>
      <c r="I694" s="136">
        <v>1</v>
      </c>
      <c r="J694" s="136">
        <v>37.19</v>
      </c>
      <c r="K694" s="138">
        <f>I694*J694</f>
        <v>37.19</v>
      </c>
    </row>
    <row r="695" spans="1:11">
      <c r="A695" s="139"/>
      <c r="E695" s="139"/>
      <c r="F695" s="139"/>
      <c r="I695" s="139"/>
      <c r="J695" s="139"/>
      <c r="K695" s="140"/>
    </row>
    <row r="696" spans="1:11">
      <c r="A696" s="128"/>
      <c r="B696" s="129" t="s">
        <v>1691</v>
      </c>
      <c r="C696" s="129" t="s">
        <v>1692</v>
      </c>
      <c r="D696" s="129" t="s">
        <v>1693</v>
      </c>
      <c r="E696" s="130" t="s">
        <v>0</v>
      </c>
      <c r="F696" s="130" t="s">
        <v>1694</v>
      </c>
      <c r="G696" s="129"/>
      <c r="H696" s="129" t="s">
        <v>1695</v>
      </c>
      <c r="I696" s="130" t="s">
        <v>1696</v>
      </c>
      <c r="J696" s="130" t="s">
        <v>1697</v>
      </c>
      <c r="K696" s="131" t="s">
        <v>1698</v>
      </c>
    </row>
    <row r="697" spans="1:11" ht="50.1" customHeight="1">
      <c r="A697" s="132" t="s">
        <v>1857</v>
      </c>
      <c r="B697" s="133" t="s">
        <v>1700</v>
      </c>
      <c r="C697" s="133" t="s">
        <v>698</v>
      </c>
      <c r="D697" s="133">
        <v>91961</v>
      </c>
      <c r="E697" s="134" t="s">
        <v>485</v>
      </c>
      <c r="F697" s="134" t="s">
        <v>1852</v>
      </c>
      <c r="G697" s="133"/>
      <c r="H697" s="133" t="s">
        <v>411</v>
      </c>
      <c r="I697" s="134"/>
      <c r="J697" s="146"/>
      <c r="K697" s="135">
        <f>SUM(K698:K699)</f>
        <v>59.82</v>
      </c>
    </row>
    <row r="698" spans="1:11" ht="24.75">
      <c r="A698" s="136" t="s">
        <v>1208</v>
      </c>
      <c r="B698" s="137" t="s">
        <v>1705</v>
      </c>
      <c r="C698" s="137" t="s">
        <v>698</v>
      </c>
      <c r="D698" s="137">
        <v>91946</v>
      </c>
      <c r="E698" s="136" t="s">
        <v>480</v>
      </c>
      <c r="F698" s="1033" t="s">
        <v>1855</v>
      </c>
      <c r="G698" s="1034"/>
      <c r="H698" s="137" t="s">
        <v>411</v>
      </c>
      <c r="I698" s="136">
        <v>1</v>
      </c>
      <c r="J698" s="136">
        <v>8.5399999999999991</v>
      </c>
      <c r="K698" s="138">
        <f>I698*J698</f>
        <v>8.5399999999999991</v>
      </c>
    </row>
    <row r="699" spans="1:11" ht="24.75">
      <c r="A699" s="136" t="s">
        <v>1208</v>
      </c>
      <c r="B699" s="137" t="s">
        <v>1705</v>
      </c>
      <c r="C699" s="137" t="s">
        <v>698</v>
      </c>
      <c r="D699" s="137">
        <v>91960</v>
      </c>
      <c r="E699" s="136" t="s">
        <v>484</v>
      </c>
      <c r="F699" s="1033" t="s">
        <v>1855</v>
      </c>
      <c r="G699" s="1034"/>
      <c r="H699" s="137" t="s">
        <v>411</v>
      </c>
      <c r="I699" s="136">
        <v>1</v>
      </c>
      <c r="J699" s="136">
        <v>51.28</v>
      </c>
      <c r="K699" s="138">
        <f>I699*J699</f>
        <v>51.28</v>
      </c>
    </row>
    <row r="700" spans="1:11">
      <c r="A700" s="139"/>
      <c r="E700" s="139"/>
      <c r="F700" s="139"/>
      <c r="I700" s="139"/>
      <c r="J700" s="139"/>
      <c r="K700" s="140"/>
    </row>
    <row r="701" spans="1:11">
      <c r="A701" s="128"/>
      <c r="B701" s="129" t="s">
        <v>1691</v>
      </c>
      <c r="C701" s="129" t="s">
        <v>1692</v>
      </c>
      <c r="D701" s="129" t="s">
        <v>1693</v>
      </c>
      <c r="E701" s="130" t="s">
        <v>0</v>
      </c>
      <c r="F701" s="130" t="s">
        <v>1694</v>
      </c>
      <c r="G701" s="129"/>
      <c r="H701" s="129" t="s">
        <v>1695</v>
      </c>
      <c r="I701" s="130" t="s">
        <v>1696</v>
      </c>
      <c r="J701" s="130" t="s">
        <v>1697</v>
      </c>
      <c r="K701" s="131" t="s">
        <v>1698</v>
      </c>
    </row>
    <row r="702" spans="1:11" ht="50.1" customHeight="1">
      <c r="A702" s="132" t="s">
        <v>1858</v>
      </c>
      <c r="B702" s="133" t="s">
        <v>1700</v>
      </c>
      <c r="C702" s="133" t="s">
        <v>698</v>
      </c>
      <c r="D702" s="133">
        <v>91979</v>
      </c>
      <c r="E702" s="134" t="s">
        <v>487</v>
      </c>
      <c r="F702" s="134" t="s">
        <v>1852</v>
      </c>
      <c r="G702" s="133"/>
      <c r="H702" s="133" t="s">
        <v>411</v>
      </c>
      <c r="I702" s="134"/>
      <c r="J702" s="146"/>
      <c r="K702" s="135">
        <f>SUM(K703:K704)</f>
        <v>51.04</v>
      </c>
    </row>
    <row r="703" spans="1:11" ht="24.75">
      <c r="A703" s="136" t="s">
        <v>1208</v>
      </c>
      <c r="B703" s="137" t="s">
        <v>1705</v>
      </c>
      <c r="C703" s="137" t="s">
        <v>698</v>
      </c>
      <c r="D703" s="137">
        <v>91946</v>
      </c>
      <c r="E703" s="136" t="s">
        <v>480</v>
      </c>
      <c r="F703" s="1033" t="s">
        <v>1855</v>
      </c>
      <c r="G703" s="1034"/>
      <c r="H703" s="137" t="s">
        <v>411</v>
      </c>
      <c r="I703" s="136">
        <v>1</v>
      </c>
      <c r="J703" s="136">
        <v>8.5399999999999991</v>
      </c>
      <c r="K703" s="138">
        <f>I703*J703</f>
        <v>8.5399999999999991</v>
      </c>
    </row>
    <row r="704" spans="1:11" ht="24.75">
      <c r="A704" s="136" t="s">
        <v>1208</v>
      </c>
      <c r="B704" s="137" t="s">
        <v>1705</v>
      </c>
      <c r="C704" s="137" t="s">
        <v>698</v>
      </c>
      <c r="D704" s="137">
        <v>91978</v>
      </c>
      <c r="E704" s="136" t="s">
        <v>486</v>
      </c>
      <c r="F704" s="1033" t="s">
        <v>1855</v>
      </c>
      <c r="G704" s="1034"/>
      <c r="H704" s="137" t="s">
        <v>411</v>
      </c>
      <c r="I704" s="136">
        <v>1</v>
      </c>
      <c r="J704" s="136">
        <v>42.5</v>
      </c>
      <c r="K704" s="138">
        <f>I704*J704</f>
        <v>42.5</v>
      </c>
    </row>
    <row r="705" spans="1:11">
      <c r="A705" s="139"/>
      <c r="E705" s="139"/>
      <c r="F705" s="139"/>
      <c r="I705" s="139"/>
      <c r="J705" s="139"/>
      <c r="K705" s="140"/>
    </row>
    <row r="706" spans="1:11">
      <c r="A706" s="128"/>
      <c r="B706" s="129" t="s">
        <v>1691</v>
      </c>
      <c r="C706" s="129" t="s">
        <v>1692</v>
      </c>
      <c r="D706" s="129" t="s">
        <v>1693</v>
      </c>
      <c r="E706" s="130" t="s">
        <v>0</v>
      </c>
      <c r="F706" s="130" t="s">
        <v>1694</v>
      </c>
      <c r="G706" s="129"/>
      <c r="H706" s="129" t="s">
        <v>1695</v>
      </c>
      <c r="I706" s="130" t="s">
        <v>1696</v>
      </c>
      <c r="J706" s="130" t="s">
        <v>1697</v>
      </c>
      <c r="K706" s="131" t="s">
        <v>1698</v>
      </c>
    </row>
    <row r="707" spans="1:11" ht="50.1" customHeight="1">
      <c r="A707" s="132" t="s">
        <v>1859</v>
      </c>
      <c r="B707" s="133" t="s">
        <v>1700</v>
      </c>
      <c r="C707" s="133" t="s">
        <v>698</v>
      </c>
      <c r="D707" s="133">
        <v>97595</v>
      </c>
      <c r="E707" s="134" t="s">
        <v>492</v>
      </c>
      <c r="F707" s="134" t="s">
        <v>1852</v>
      </c>
      <c r="G707" s="133"/>
      <c r="H707" s="133" t="s">
        <v>411</v>
      </c>
      <c r="I707" s="134"/>
      <c r="J707" s="146"/>
      <c r="K707" s="135">
        <f>SUM(K708:K710)</f>
        <v>80.110547999999994</v>
      </c>
    </row>
    <row r="708" spans="1:11" ht="24.75">
      <c r="A708" s="136" t="s">
        <v>1208</v>
      </c>
      <c r="B708" s="137" t="s">
        <v>792</v>
      </c>
      <c r="C708" s="137" t="s">
        <v>698</v>
      </c>
      <c r="D708" s="137">
        <v>39392</v>
      </c>
      <c r="E708" s="136" t="s">
        <v>493</v>
      </c>
      <c r="F708" s="1033" t="s">
        <v>1703</v>
      </c>
      <c r="G708" s="1034"/>
      <c r="H708" s="137" t="s">
        <v>411</v>
      </c>
      <c r="I708" s="136">
        <v>1</v>
      </c>
      <c r="J708" s="136">
        <v>55.15</v>
      </c>
      <c r="K708" s="138">
        <f>I708*J708</f>
        <v>55.15</v>
      </c>
    </row>
    <row r="709" spans="1:11">
      <c r="A709" s="136" t="s">
        <v>1208</v>
      </c>
      <c r="B709" s="137" t="s">
        <v>1705</v>
      </c>
      <c r="C709" s="137" t="s">
        <v>698</v>
      </c>
      <c r="D709" s="137">
        <v>88247</v>
      </c>
      <c r="E709" s="136" t="s">
        <v>474</v>
      </c>
      <c r="F709" s="1033" t="s">
        <v>1706</v>
      </c>
      <c r="G709" s="1034"/>
      <c r="H709" s="137" t="s">
        <v>412</v>
      </c>
      <c r="I709" s="136">
        <v>0.23519999999999999</v>
      </c>
      <c r="J709" s="136">
        <v>26.96</v>
      </c>
      <c r="K709" s="138">
        <f t="shared" ref="K709:K710" si="73">I709*J709</f>
        <v>6.340992</v>
      </c>
    </row>
    <row r="710" spans="1:11">
      <c r="A710" s="136" t="s">
        <v>1208</v>
      </c>
      <c r="B710" s="137" t="s">
        <v>1705</v>
      </c>
      <c r="C710" s="137" t="s">
        <v>698</v>
      </c>
      <c r="D710" s="137">
        <v>88264</v>
      </c>
      <c r="E710" s="136" t="s">
        <v>475</v>
      </c>
      <c r="F710" s="1033" t="s">
        <v>1706</v>
      </c>
      <c r="G710" s="1034"/>
      <c r="H710" s="137" t="s">
        <v>412</v>
      </c>
      <c r="I710" s="136">
        <v>0.56440000000000001</v>
      </c>
      <c r="J710" s="136">
        <v>32.99</v>
      </c>
      <c r="K710" s="138">
        <f t="shared" si="73"/>
        <v>18.619556000000003</v>
      </c>
    </row>
    <row r="711" spans="1:11">
      <c r="A711" s="139"/>
      <c r="E711" s="139"/>
      <c r="F711" s="139"/>
      <c r="I711" s="139"/>
      <c r="J711" s="139"/>
      <c r="K711" s="140"/>
    </row>
    <row r="712" spans="1:11">
      <c r="A712" s="128"/>
      <c r="B712" s="129" t="s">
        <v>1691</v>
      </c>
      <c r="C712" s="129" t="s">
        <v>1692</v>
      </c>
      <c r="D712" s="129" t="s">
        <v>1693</v>
      </c>
      <c r="E712" s="130" t="s">
        <v>0</v>
      </c>
      <c r="F712" s="130" t="s">
        <v>1694</v>
      </c>
      <c r="G712" s="129"/>
      <c r="H712" s="129" t="s">
        <v>1695</v>
      </c>
      <c r="I712" s="130" t="s">
        <v>1696</v>
      </c>
      <c r="J712" s="130" t="s">
        <v>1697</v>
      </c>
      <c r="K712" s="131" t="s">
        <v>1698</v>
      </c>
    </row>
    <row r="713" spans="1:11" ht="50.1" customHeight="1">
      <c r="A713" s="132" t="s">
        <v>1860</v>
      </c>
      <c r="B713" s="133" t="s">
        <v>1700</v>
      </c>
      <c r="C713" s="133" t="s">
        <v>698</v>
      </c>
      <c r="D713" s="133">
        <v>91992</v>
      </c>
      <c r="E713" s="134" t="s">
        <v>490</v>
      </c>
      <c r="F713" s="134" t="s">
        <v>1852</v>
      </c>
      <c r="G713" s="133"/>
      <c r="H713" s="133" t="s">
        <v>411</v>
      </c>
      <c r="I713" s="134"/>
      <c r="J713" s="146"/>
      <c r="K713" s="135">
        <f>SUM(K714:K715)</f>
        <v>46.14</v>
      </c>
    </row>
    <row r="714" spans="1:11" ht="24.75">
      <c r="A714" s="136" t="s">
        <v>1208</v>
      </c>
      <c r="B714" s="137" t="s">
        <v>1705</v>
      </c>
      <c r="C714" s="137" t="s">
        <v>698</v>
      </c>
      <c r="D714" s="137">
        <v>91946</v>
      </c>
      <c r="E714" s="136" t="s">
        <v>480</v>
      </c>
      <c r="F714" s="1033" t="s">
        <v>1855</v>
      </c>
      <c r="G714" s="1034"/>
      <c r="H714" s="137" t="s">
        <v>411</v>
      </c>
      <c r="I714" s="136">
        <v>1</v>
      </c>
      <c r="J714" s="136">
        <v>8.5399999999999991</v>
      </c>
      <c r="K714" s="138">
        <f>I714*J714</f>
        <v>8.5399999999999991</v>
      </c>
    </row>
    <row r="715" spans="1:11" ht="24.75">
      <c r="A715" s="136" t="s">
        <v>1208</v>
      </c>
      <c r="B715" s="137" t="s">
        <v>1705</v>
      </c>
      <c r="C715" s="137" t="s">
        <v>698</v>
      </c>
      <c r="D715" s="137">
        <v>91990</v>
      </c>
      <c r="E715" s="136" t="s">
        <v>488</v>
      </c>
      <c r="F715" s="1033" t="s">
        <v>1855</v>
      </c>
      <c r="G715" s="1034"/>
      <c r="H715" s="137" t="s">
        <v>411</v>
      </c>
      <c r="I715" s="136">
        <v>1</v>
      </c>
      <c r="J715" s="136">
        <v>37.6</v>
      </c>
      <c r="K715" s="138">
        <f>I715*J715</f>
        <v>37.6</v>
      </c>
    </row>
    <row r="716" spans="1:11">
      <c r="A716" s="139"/>
      <c r="E716" s="139"/>
      <c r="F716" s="139"/>
      <c r="I716" s="139"/>
      <c r="J716" s="139"/>
      <c r="K716" s="140"/>
    </row>
    <row r="717" spans="1:11">
      <c r="A717" s="128"/>
      <c r="B717" s="129" t="s">
        <v>1691</v>
      </c>
      <c r="C717" s="129" t="s">
        <v>1692</v>
      </c>
      <c r="D717" s="129" t="s">
        <v>1693</v>
      </c>
      <c r="E717" s="130" t="s">
        <v>0</v>
      </c>
      <c r="F717" s="130" t="s">
        <v>1694</v>
      </c>
      <c r="G717" s="129"/>
      <c r="H717" s="129" t="s">
        <v>1695</v>
      </c>
      <c r="I717" s="130" t="s">
        <v>1696</v>
      </c>
      <c r="J717" s="130" t="s">
        <v>1697</v>
      </c>
      <c r="K717" s="131" t="s">
        <v>1698</v>
      </c>
    </row>
    <row r="718" spans="1:11" ht="50.1" customHeight="1">
      <c r="A718" s="132" t="s">
        <v>1861</v>
      </c>
      <c r="B718" s="133" t="s">
        <v>1700</v>
      </c>
      <c r="C718" s="133" t="s">
        <v>698</v>
      </c>
      <c r="D718" s="133">
        <v>91993</v>
      </c>
      <c r="E718" s="134" t="s">
        <v>491</v>
      </c>
      <c r="F718" s="134" t="s">
        <v>1852</v>
      </c>
      <c r="G718" s="133"/>
      <c r="H718" s="133" t="s">
        <v>411</v>
      </c>
      <c r="I718" s="134"/>
      <c r="J718" s="146"/>
      <c r="K718" s="135">
        <f>SUM(K719:K720)</f>
        <v>48.339999999999996</v>
      </c>
    </row>
    <row r="719" spans="1:11" ht="24.75">
      <c r="A719" s="136" t="s">
        <v>1208</v>
      </c>
      <c r="B719" s="137" t="s">
        <v>1705</v>
      </c>
      <c r="C719" s="137" t="s">
        <v>698</v>
      </c>
      <c r="D719" s="137">
        <v>91946</v>
      </c>
      <c r="E719" s="136" t="s">
        <v>480</v>
      </c>
      <c r="F719" s="1033" t="s">
        <v>1855</v>
      </c>
      <c r="G719" s="1034"/>
      <c r="H719" s="137" t="s">
        <v>411</v>
      </c>
      <c r="I719" s="136">
        <v>1</v>
      </c>
      <c r="J719" s="136">
        <v>8.5399999999999991</v>
      </c>
      <c r="K719" s="138">
        <f>I719*J719</f>
        <v>8.5399999999999991</v>
      </c>
    </row>
    <row r="720" spans="1:11" ht="24.75">
      <c r="A720" s="136" t="s">
        <v>1208</v>
      </c>
      <c r="B720" s="137" t="s">
        <v>1705</v>
      </c>
      <c r="C720" s="137" t="s">
        <v>698</v>
      </c>
      <c r="D720" s="137">
        <v>91991</v>
      </c>
      <c r="E720" s="136" t="s">
        <v>489</v>
      </c>
      <c r="F720" s="1033" t="s">
        <v>1855</v>
      </c>
      <c r="G720" s="1034"/>
      <c r="H720" s="137" t="s">
        <v>411</v>
      </c>
      <c r="I720" s="136">
        <v>1</v>
      </c>
      <c r="J720" s="136">
        <v>39.799999999999997</v>
      </c>
      <c r="K720" s="138">
        <f>I720*J720</f>
        <v>39.799999999999997</v>
      </c>
    </row>
    <row r="721" spans="1:11">
      <c r="A721" s="139"/>
      <c r="E721" s="139"/>
      <c r="F721" s="139"/>
      <c r="I721" s="139"/>
      <c r="J721" s="139"/>
      <c r="K721" s="140"/>
    </row>
    <row r="722" spans="1:11">
      <c r="A722" s="128"/>
      <c r="B722" s="129" t="s">
        <v>1691</v>
      </c>
      <c r="C722" s="129" t="s">
        <v>1692</v>
      </c>
      <c r="D722" s="129" t="s">
        <v>1693</v>
      </c>
      <c r="E722" s="130" t="s">
        <v>0</v>
      </c>
      <c r="F722" s="130" t="s">
        <v>1694</v>
      </c>
      <c r="G722" s="129"/>
      <c r="H722" s="129" t="s">
        <v>1695</v>
      </c>
      <c r="I722" s="130" t="s">
        <v>1696</v>
      </c>
      <c r="J722" s="130" t="s">
        <v>1697</v>
      </c>
      <c r="K722" s="131" t="s">
        <v>1698</v>
      </c>
    </row>
    <row r="723" spans="1:11" ht="50.1" customHeight="1">
      <c r="A723" s="132" t="s">
        <v>1862</v>
      </c>
      <c r="B723" s="133" t="s">
        <v>1700</v>
      </c>
      <c r="C723" s="133" t="s">
        <v>698</v>
      </c>
      <c r="D723" s="133">
        <v>92005</v>
      </c>
      <c r="E723" s="134" t="s">
        <v>1863</v>
      </c>
      <c r="F723" s="134" t="s">
        <v>1852</v>
      </c>
      <c r="G723" s="133"/>
      <c r="H723" s="133" t="s">
        <v>411</v>
      </c>
      <c r="I723" s="134"/>
      <c r="J723" s="146"/>
      <c r="K723" s="135">
        <f>SUM(K724:K726)</f>
        <v>61.94</v>
      </c>
    </row>
    <row r="724" spans="1:11" ht="24.75">
      <c r="A724" s="136" t="s">
        <v>1208</v>
      </c>
      <c r="B724" s="137" t="s">
        <v>1705</v>
      </c>
      <c r="C724" s="137" t="s">
        <v>698</v>
      </c>
      <c r="D724" s="137">
        <v>91946</v>
      </c>
      <c r="E724" s="136" t="s">
        <v>480</v>
      </c>
      <c r="F724" s="1033" t="s">
        <v>1855</v>
      </c>
      <c r="G724" s="1034"/>
      <c r="H724" s="137" t="s">
        <v>411</v>
      </c>
      <c r="I724" s="136">
        <v>1</v>
      </c>
      <c r="J724" s="136">
        <v>8.5399999999999991</v>
      </c>
      <c r="K724" s="138">
        <f>I724*J724</f>
        <v>8.5399999999999991</v>
      </c>
    </row>
    <row r="725" spans="1:11" ht="24.75">
      <c r="A725" s="136" t="s">
        <v>1208</v>
      </c>
      <c r="B725" s="137" t="s">
        <v>1705</v>
      </c>
      <c r="C725" s="137" t="s">
        <v>698</v>
      </c>
      <c r="D725" s="137">
        <v>92003</v>
      </c>
      <c r="E725" s="136" t="s">
        <v>1864</v>
      </c>
      <c r="F725" s="1033" t="s">
        <v>1855</v>
      </c>
      <c r="G725" s="1034"/>
      <c r="H725" s="137" t="s">
        <v>411</v>
      </c>
      <c r="I725" s="136">
        <v>1</v>
      </c>
      <c r="J725" s="136">
        <v>53.4</v>
      </c>
      <c r="K725" s="138">
        <f>I725*J725</f>
        <v>53.4</v>
      </c>
    </row>
    <row r="726" spans="1:11">
      <c r="A726" s="139"/>
      <c r="E726" s="139"/>
      <c r="F726" s="139"/>
      <c r="I726" s="139"/>
      <c r="J726" s="139"/>
      <c r="K726" s="140"/>
    </row>
    <row r="727" spans="1:11">
      <c r="A727" s="128"/>
      <c r="B727" s="129" t="s">
        <v>1691</v>
      </c>
      <c r="C727" s="129" t="s">
        <v>1692</v>
      </c>
      <c r="D727" s="129" t="s">
        <v>1693</v>
      </c>
      <c r="E727" s="130" t="s">
        <v>0</v>
      </c>
      <c r="F727" s="130" t="s">
        <v>1694</v>
      </c>
      <c r="G727" s="129"/>
      <c r="H727" s="129" t="s">
        <v>1695</v>
      </c>
      <c r="I727" s="130" t="s">
        <v>1696</v>
      </c>
      <c r="J727" s="130" t="s">
        <v>1697</v>
      </c>
      <c r="K727" s="131" t="s">
        <v>1698</v>
      </c>
    </row>
    <row r="728" spans="1:11" ht="50.1" customHeight="1">
      <c r="A728" s="132" t="s">
        <v>1865</v>
      </c>
      <c r="B728" s="133" t="s">
        <v>1700</v>
      </c>
      <c r="C728" s="133" t="s">
        <v>698</v>
      </c>
      <c r="D728" s="133">
        <v>91992</v>
      </c>
      <c r="E728" s="134" t="s">
        <v>490</v>
      </c>
      <c r="F728" s="134" t="s">
        <v>1852</v>
      </c>
      <c r="G728" s="133"/>
      <c r="H728" s="133" t="s">
        <v>411</v>
      </c>
      <c r="I728" s="134"/>
      <c r="J728" s="146"/>
      <c r="K728" s="135">
        <f>SUM(K729:K730)</f>
        <v>46.14</v>
      </c>
    </row>
    <row r="729" spans="1:11" ht="24.75">
      <c r="A729" s="136" t="s">
        <v>1208</v>
      </c>
      <c r="B729" s="137" t="s">
        <v>1705</v>
      </c>
      <c r="C729" s="137" t="s">
        <v>698</v>
      </c>
      <c r="D729" s="137">
        <v>91946</v>
      </c>
      <c r="E729" s="136" t="s">
        <v>480</v>
      </c>
      <c r="F729" s="1033" t="s">
        <v>1855</v>
      </c>
      <c r="G729" s="1034"/>
      <c r="H729" s="137" t="s">
        <v>411</v>
      </c>
      <c r="I729" s="148">
        <v>1</v>
      </c>
      <c r="J729" s="148">
        <v>8.5399999999999991</v>
      </c>
      <c r="K729" s="138">
        <f>I729*J729</f>
        <v>8.5399999999999991</v>
      </c>
    </row>
    <row r="730" spans="1:11" ht="24.75">
      <c r="A730" s="136" t="s">
        <v>1208</v>
      </c>
      <c r="B730" s="137" t="s">
        <v>1705</v>
      </c>
      <c r="C730" s="137" t="s">
        <v>698</v>
      </c>
      <c r="D730" s="137">
        <v>91990</v>
      </c>
      <c r="E730" s="136" t="s">
        <v>488</v>
      </c>
      <c r="F730" s="1033" t="s">
        <v>1855</v>
      </c>
      <c r="G730" s="1034"/>
      <c r="H730" s="137" t="s">
        <v>411</v>
      </c>
      <c r="I730" s="148">
        <v>1</v>
      </c>
      <c r="J730" s="148">
        <v>37.6</v>
      </c>
      <c r="K730" s="138">
        <f>I730*J730</f>
        <v>37.6</v>
      </c>
    </row>
    <row r="731" spans="1:11">
      <c r="A731" s="139"/>
      <c r="E731" s="139"/>
      <c r="F731" s="139"/>
      <c r="I731" s="139"/>
      <c r="J731" s="139"/>
      <c r="K731" s="140"/>
    </row>
    <row r="732" spans="1:11">
      <c r="A732" s="128"/>
      <c r="B732" s="129" t="s">
        <v>1691</v>
      </c>
      <c r="C732" s="129" t="s">
        <v>1692</v>
      </c>
      <c r="D732" s="129" t="s">
        <v>1693</v>
      </c>
      <c r="E732" s="130" t="s">
        <v>0</v>
      </c>
      <c r="F732" s="130" t="s">
        <v>1694</v>
      </c>
      <c r="G732" s="129"/>
      <c r="H732" s="129" t="s">
        <v>1695</v>
      </c>
      <c r="I732" s="130" t="s">
        <v>1696</v>
      </c>
      <c r="J732" s="130" t="s">
        <v>1697</v>
      </c>
      <c r="K732" s="131" t="s">
        <v>1698</v>
      </c>
    </row>
    <row r="733" spans="1:11" ht="50.1" customHeight="1">
      <c r="A733" s="132" t="s">
        <v>1866</v>
      </c>
      <c r="B733" s="133" t="s">
        <v>1700</v>
      </c>
      <c r="C733" s="133" t="s">
        <v>698</v>
      </c>
      <c r="D733" s="133">
        <v>100556</v>
      </c>
      <c r="E733" s="134" t="s">
        <v>426</v>
      </c>
      <c r="F733" s="134" t="s">
        <v>499</v>
      </c>
      <c r="G733" s="133"/>
      <c r="H733" s="133" t="s">
        <v>411</v>
      </c>
      <c r="I733" s="134"/>
      <c r="J733" s="146"/>
      <c r="K733" s="135">
        <f>SUM(K734:K736)</f>
        <v>46.332700000000003</v>
      </c>
    </row>
    <row r="734" spans="1:11" ht="24.75">
      <c r="A734" s="136" t="s">
        <v>1208</v>
      </c>
      <c r="B734" s="137" t="s">
        <v>792</v>
      </c>
      <c r="C734" s="137" t="s">
        <v>698</v>
      </c>
      <c r="D734" s="137">
        <v>20254</v>
      </c>
      <c r="E734" s="136" t="s">
        <v>512</v>
      </c>
      <c r="F734" s="1033" t="s">
        <v>1703</v>
      </c>
      <c r="G734" s="1034"/>
      <c r="H734" s="137" t="s">
        <v>411</v>
      </c>
      <c r="I734" s="136">
        <v>1</v>
      </c>
      <c r="J734" s="136">
        <v>25.59</v>
      </c>
      <c r="K734" s="138">
        <f>J734*I734</f>
        <v>25.59</v>
      </c>
    </row>
    <row r="735" spans="1:11">
      <c r="A735" s="136" t="s">
        <v>1208</v>
      </c>
      <c r="B735" s="137" t="s">
        <v>1705</v>
      </c>
      <c r="C735" s="137" t="s">
        <v>698</v>
      </c>
      <c r="D735" s="137">
        <v>88247</v>
      </c>
      <c r="E735" s="136" t="s">
        <v>474</v>
      </c>
      <c r="F735" s="1033" t="s">
        <v>1706</v>
      </c>
      <c r="G735" s="1034"/>
      <c r="H735" s="137" t="s">
        <v>412</v>
      </c>
      <c r="I735" s="136">
        <v>0.34599999999999997</v>
      </c>
      <c r="J735" s="136">
        <v>26.96</v>
      </c>
      <c r="K735" s="138">
        <f t="shared" ref="K735:K736" si="74">J735*I735</f>
        <v>9.3281600000000005</v>
      </c>
    </row>
    <row r="736" spans="1:11">
      <c r="A736" s="136" t="s">
        <v>1208</v>
      </c>
      <c r="B736" s="137" t="s">
        <v>1705</v>
      </c>
      <c r="C736" s="137" t="s">
        <v>698</v>
      </c>
      <c r="D736" s="137">
        <v>88264</v>
      </c>
      <c r="E736" s="136" t="s">
        <v>475</v>
      </c>
      <c r="F736" s="1033" t="s">
        <v>1706</v>
      </c>
      <c r="G736" s="1034"/>
      <c r="H736" s="137" t="s">
        <v>412</v>
      </c>
      <c r="I736" s="136">
        <v>0.34599999999999997</v>
      </c>
      <c r="J736" s="136">
        <v>32.99</v>
      </c>
      <c r="K736" s="138">
        <f t="shared" si="74"/>
        <v>11.414540000000001</v>
      </c>
    </row>
    <row r="737" spans="1:11">
      <c r="A737" s="139"/>
      <c r="E737" s="139"/>
      <c r="F737" s="139"/>
      <c r="I737" s="139"/>
      <c r="J737" s="139"/>
      <c r="K737" s="140"/>
    </row>
    <row r="738" spans="1:11">
      <c r="A738" s="128"/>
      <c r="B738" s="129" t="s">
        <v>1691</v>
      </c>
      <c r="C738" s="129" t="s">
        <v>1692</v>
      </c>
      <c r="D738" s="129" t="s">
        <v>1693</v>
      </c>
      <c r="E738" s="130" t="s">
        <v>0</v>
      </c>
      <c r="F738" s="130" t="s">
        <v>1694</v>
      </c>
      <c r="G738" s="129"/>
      <c r="H738" s="129" t="s">
        <v>1695</v>
      </c>
      <c r="I738" s="130" t="s">
        <v>1696</v>
      </c>
      <c r="J738" s="130" t="s">
        <v>1697</v>
      </c>
      <c r="K738" s="131" t="s">
        <v>1698</v>
      </c>
    </row>
    <row r="739" spans="1:11" ht="50.1" customHeight="1">
      <c r="A739" s="132" t="s">
        <v>1867</v>
      </c>
      <c r="B739" s="133" t="s">
        <v>1700</v>
      </c>
      <c r="C739" s="133" t="s">
        <v>698</v>
      </c>
      <c r="D739" s="133">
        <v>95789</v>
      </c>
      <c r="E739" s="134" t="s">
        <v>476</v>
      </c>
      <c r="F739" s="134" t="s">
        <v>1852</v>
      </c>
      <c r="G739" s="133"/>
      <c r="H739" s="133" t="s">
        <v>411</v>
      </c>
      <c r="I739" s="134"/>
      <c r="J739" s="146"/>
      <c r="K739" s="135">
        <f>SUM(K740:K743)</f>
        <v>43.968109999999996</v>
      </c>
    </row>
    <row r="740" spans="1:11">
      <c r="A740" s="136" t="s">
        <v>1208</v>
      </c>
      <c r="B740" s="137" t="s">
        <v>792</v>
      </c>
      <c r="C740" s="137" t="s">
        <v>698</v>
      </c>
      <c r="D740" s="137">
        <v>2570</v>
      </c>
      <c r="E740" s="136" t="s">
        <v>1868</v>
      </c>
      <c r="F740" s="1033" t="s">
        <v>1703</v>
      </c>
      <c r="G740" s="1034"/>
      <c r="H740" s="137" t="s">
        <v>411</v>
      </c>
      <c r="I740" s="136">
        <v>1</v>
      </c>
      <c r="J740" s="136">
        <v>19.72</v>
      </c>
      <c r="K740" s="138">
        <f>I740*J740</f>
        <v>19.72</v>
      </c>
    </row>
    <row r="741" spans="1:11" ht="24.75">
      <c r="A741" s="136" t="s">
        <v>1208</v>
      </c>
      <c r="B741" s="137" t="s">
        <v>792</v>
      </c>
      <c r="C741" s="137" t="s">
        <v>698</v>
      </c>
      <c r="D741" s="137">
        <v>11950</v>
      </c>
      <c r="E741" s="136" t="s">
        <v>463</v>
      </c>
      <c r="F741" s="1033" t="s">
        <v>1703</v>
      </c>
      <c r="G741" s="1034"/>
      <c r="H741" s="137" t="s">
        <v>411</v>
      </c>
      <c r="I741" s="136">
        <v>2</v>
      </c>
      <c r="J741" s="136">
        <v>0.2</v>
      </c>
      <c r="K741" s="138">
        <f t="shared" ref="K741:K743" si="75">I741*J741</f>
        <v>0.4</v>
      </c>
    </row>
    <row r="742" spans="1:11">
      <c r="A742" s="136" t="s">
        <v>1208</v>
      </c>
      <c r="B742" s="137" t="s">
        <v>1705</v>
      </c>
      <c r="C742" s="137" t="s">
        <v>698</v>
      </c>
      <c r="D742" s="137">
        <v>88247</v>
      </c>
      <c r="E742" s="136" t="s">
        <v>474</v>
      </c>
      <c r="F742" s="1033" t="s">
        <v>1706</v>
      </c>
      <c r="G742" s="1034"/>
      <c r="H742" s="137" t="s">
        <v>412</v>
      </c>
      <c r="I742" s="136">
        <v>0.39779999999999999</v>
      </c>
      <c r="J742" s="136">
        <v>26.96</v>
      </c>
      <c r="K742" s="138">
        <f t="shared" si="75"/>
        <v>10.724688</v>
      </c>
    </row>
    <row r="743" spans="1:11">
      <c r="A743" s="136" t="s">
        <v>1208</v>
      </c>
      <c r="B743" s="137" t="s">
        <v>1705</v>
      </c>
      <c r="C743" s="137" t="s">
        <v>698</v>
      </c>
      <c r="D743" s="137">
        <v>88264</v>
      </c>
      <c r="E743" s="136" t="s">
        <v>475</v>
      </c>
      <c r="F743" s="1033" t="s">
        <v>1706</v>
      </c>
      <c r="G743" s="1034"/>
      <c r="H743" s="137" t="s">
        <v>412</v>
      </c>
      <c r="I743" s="136">
        <v>0.39779999999999999</v>
      </c>
      <c r="J743" s="136">
        <v>32.99</v>
      </c>
      <c r="K743" s="138">
        <f t="shared" si="75"/>
        <v>13.123422</v>
      </c>
    </row>
    <row r="744" spans="1:11">
      <c r="A744" s="139"/>
      <c r="E744" s="139"/>
      <c r="F744" s="139"/>
      <c r="I744" s="139"/>
      <c r="J744" s="139"/>
      <c r="K744" s="140"/>
    </row>
    <row r="745" spans="1:11">
      <c r="A745" s="128"/>
      <c r="B745" s="129" t="s">
        <v>1691</v>
      </c>
      <c r="C745" s="129" t="s">
        <v>1692</v>
      </c>
      <c r="D745" s="129" t="s">
        <v>1693</v>
      </c>
      <c r="E745" s="130" t="s">
        <v>0</v>
      </c>
      <c r="F745" s="130" t="s">
        <v>1694</v>
      </c>
      <c r="G745" s="129"/>
      <c r="H745" s="129" t="s">
        <v>1695</v>
      </c>
      <c r="I745" s="130" t="s">
        <v>1696</v>
      </c>
      <c r="J745" s="130" t="s">
        <v>1697</v>
      </c>
      <c r="K745" s="131" t="s">
        <v>1698</v>
      </c>
    </row>
    <row r="746" spans="1:11" ht="50.1" customHeight="1">
      <c r="A746" s="132" t="s">
        <v>1869</v>
      </c>
      <c r="B746" s="133" t="s">
        <v>1700</v>
      </c>
      <c r="C746" s="133" t="s">
        <v>698</v>
      </c>
      <c r="D746" s="133">
        <v>95796</v>
      </c>
      <c r="E746" s="134" t="s">
        <v>477</v>
      </c>
      <c r="F746" s="134" t="s">
        <v>1852</v>
      </c>
      <c r="G746" s="133"/>
      <c r="H746" s="133" t="s">
        <v>411</v>
      </c>
      <c r="I746" s="134"/>
      <c r="J746" s="146"/>
      <c r="K746" s="135">
        <f>SUM(K747:K750)</f>
        <v>51.768589999999996</v>
      </c>
    </row>
    <row r="747" spans="1:11">
      <c r="A747" s="136" t="s">
        <v>1208</v>
      </c>
      <c r="B747" s="137" t="s">
        <v>792</v>
      </c>
      <c r="C747" s="137" t="s">
        <v>698</v>
      </c>
      <c r="D747" s="137">
        <v>2586</v>
      </c>
      <c r="E747" s="136" t="s">
        <v>1870</v>
      </c>
      <c r="F747" s="1033" t="s">
        <v>1703</v>
      </c>
      <c r="G747" s="1034"/>
      <c r="H747" s="137" t="s">
        <v>411</v>
      </c>
      <c r="I747" s="136">
        <v>1</v>
      </c>
      <c r="J747" s="136">
        <v>23.3</v>
      </c>
      <c r="K747" s="138">
        <f>J747*I747</f>
        <v>23.3</v>
      </c>
    </row>
    <row r="748" spans="1:11" ht="24.75">
      <c r="A748" s="136" t="s">
        <v>1208</v>
      </c>
      <c r="B748" s="137" t="s">
        <v>792</v>
      </c>
      <c r="C748" s="137" t="s">
        <v>698</v>
      </c>
      <c r="D748" s="137">
        <v>11950</v>
      </c>
      <c r="E748" s="136" t="s">
        <v>463</v>
      </c>
      <c r="F748" s="1033" t="s">
        <v>1703</v>
      </c>
      <c r="G748" s="1034"/>
      <c r="H748" s="137" t="s">
        <v>411</v>
      </c>
      <c r="I748" s="136">
        <v>2</v>
      </c>
      <c r="J748" s="136">
        <v>0.2</v>
      </c>
      <c r="K748" s="138">
        <f t="shared" ref="K748:K750" si="76">J748*I748</f>
        <v>0.4</v>
      </c>
    </row>
    <row r="749" spans="1:11">
      <c r="A749" s="136" t="s">
        <v>1208</v>
      </c>
      <c r="B749" s="137" t="s">
        <v>1705</v>
      </c>
      <c r="C749" s="137" t="s">
        <v>698</v>
      </c>
      <c r="D749" s="137">
        <v>88247</v>
      </c>
      <c r="E749" s="136" t="s">
        <v>474</v>
      </c>
      <c r="F749" s="1033" t="s">
        <v>1706</v>
      </c>
      <c r="G749" s="1034"/>
      <c r="H749" s="137" t="s">
        <v>412</v>
      </c>
      <c r="I749" s="136">
        <v>0.46820000000000001</v>
      </c>
      <c r="J749" s="136">
        <v>26.96</v>
      </c>
      <c r="K749" s="138">
        <f t="shared" si="76"/>
        <v>12.622672</v>
      </c>
    </row>
    <row r="750" spans="1:11">
      <c r="A750" s="136" t="s">
        <v>1208</v>
      </c>
      <c r="B750" s="137" t="s">
        <v>1705</v>
      </c>
      <c r="C750" s="137" t="s">
        <v>698</v>
      </c>
      <c r="D750" s="137">
        <v>88264</v>
      </c>
      <c r="E750" s="136" t="s">
        <v>475</v>
      </c>
      <c r="F750" s="1033" t="s">
        <v>1706</v>
      </c>
      <c r="G750" s="1034"/>
      <c r="H750" s="137" t="s">
        <v>412</v>
      </c>
      <c r="I750" s="136">
        <v>0.46820000000000001</v>
      </c>
      <c r="J750" s="136">
        <v>32.99</v>
      </c>
      <c r="K750" s="138">
        <f t="shared" si="76"/>
        <v>15.445918000000001</v>
      </c>
    </row>
    <row r="751" spans="1:11">
      <c r="A751" s="139"/>
      <c r="E751" s="139"/>
      <c r="F751" s="139"/>
      <c r="I751" s="139"/>
      <c r="J751" s="139"/>
      <c r="K751" s="140"/>
    </row>
    <row r="752" spans="1:11">
      <c r="A752" s="128"/>
      <c r="B752" s="129" t="s">
        <v>1691</v>
      </c>
      <c r="C752" s="129" t="s">
        <v>1692</v>
      </c>
      <c r="D752" s="129" t="s">
        <v>1693</v>
      </c>
      <c r="E752" s="130" t="s">
        <v>0</v>
      </c>
      <c r="F752" s="130" t="s">
        <v>1694</v>
      </c>
      <c r="G752" s="129"/>
      <c r="H752" s="129" t="s">
        <v>1695</v>
      </c>
      <c r="I752" s="130" t="s">
        <v>1696</v>
      </c>
      <c r="J752" s="130" t="s">
        <v>1697</v>
      </c>
      <c r="K752" s="131" t="s">
        <v>1698</v>
      </c>
    </row>
    <row r="753" spans="1:11" ht="50.1" customHeight="1">
      <c r="A753" s="132" t="s">
        <v>1871</v>
      </c>
      <c r="B753" s="133" t="s">
        <v>1700</v>
      </c>
      <c r="C753" s="133" t="s">
        <v>698</v>
      </c>
      <c r="D753" s="133">
        <v>95802</v>
      </c>
      <c r="E753" s="134" t="s">
        <v>478</v>
      </c>
      <c r="F753" s="134" t="s">
        <v>1852</v>
      </c>
      <c r="G753" s="133"/>
      <c r="H753" s="133" t="s">
        <v>411</v>
      </c>
      <c r="I753" s="134"/>
      <c r="J753" s="146"/>
      <c r="K753" s="135">
        <f>SUM(K754:K757)</f>
        <v>54.983074999999999</v>
      </c>
    </row>
    <row r="754" spans="1:11">
      <c r="A754" s="136" t="s">
        <v>1208</v>
      </c>
      <c r="B754" s="137" t="s">
        <v>792</v>
      </c>
      <c r="C754" s="137" t="s">
        <v>698</v>
      </c>
      <c r="D754" s="137">
        <v>2581</v>
      </c>
      <c r="E754" s="136" t="s">
        <v>1872</v>
      </c>
      <c r="F754" s="1033" t="s">
        <v>1703</v>
      </c>
      <c r="G754" s="1034"/>
      <c r="H754" s="137" t="s">
        <v>411</v>
      </c>
      <c r="I754" s="136">
        <v>1</v>
      </c>
      <c r="J754" s="136">
        <v>22.3</v>
      </c>
      <c r="K754" s="138">
        <f>I754*J754</f>
        <v>22.3</v>
      </c>
    </row>
    <row r="755" spans="1:11" ht="24.75">
      <c r="A755" s="136" t="s">
        <v>1208</v>
      </c>
      <c r="B755" s="137" t="s">
        <v>792</v>
      </c>
      <c r="C755" s="137" t="s">
        <v>698</v>
      </c>
      <c r="D755" s="137">
        <v>11950</v>
      </c>
      <c r="E755" s="136" t="s">
        <v>463</v>
      </c>
      <c r="F755" s="1033" t="s">
        <v>1703</v>
      </c>
      <c r="G755" s="1034"/>
      <c r="H755" s="137" t="s">
        <v>411</v>
      </c>
      <c r="I755" s="136">
        <v>2</v>
      </c>
      <c r="J755" s="136">
        <v>0.2</v>
      </c>
      <c r="K755" s="138">
        <f t="shared" ref="K755:K757" si="77">I755*J755</f>
        <v>0.4</v>
      </c>
    </row>
    <row r="756" spans="1:11">
      <c r="A756" s="136" t="s">
        <v>1208</v>
      </c>
      <c r="B756" s="137" t="s">
        <v>1705</v>
      </c>
      <c r="C756" s="137" t="s">
        <v>698</v>
      </c>
      <c r="D756" s="137">
        <v>88247</v>
      </c>
      <c r="E756" s="136" t="s">
        <v>474</v>
      </c>
      <c r="F756" s="1033" t="s">
        <v>1706</v>
      </c>
      <c r="G756" s="1034"/>
      <c r="H756" s="137" t="s">
        <v>412</v>
      </c>
      <c r="I756" s="136">
        <v>0.53849999999999998</v>
      </c>
      <c r="J756" s="136">
        <v>26.96</v>
      </c>
      <c r="K756" s="138">
        <f t="shared" si="77"/>
        <v>14.51796</v>
      </c>
    </row>
    <row r="757" spans="1:11">
      <c r="A757" s="136" t="s">
        <v>1208</v>
      </c>
      <c r="B757" s="137" t="s">
        <v>1705</v>
      </c>
      <c r="C757" s="137" t="s">
        <v>698</v>
      </c>
      <c r="D757" s="137">
        <v>88264</v>
      </c>
      <c r="E757" s="136" t="s">
        <v>475</v>
      </c>
      <c r="F757" s="1033" t="s">
        <v>1706</v>
      </c>
      <c r="G757" s="1034"/>
      <c r="H757" s="137" t="s">
        <v>412</v>
      </c>
      <c r="I757" s="136">
        <v>0.53849999999999998</v>
      </c>
      <c r="J757" s="136">
        <v>32.99</v>
      </c>
      <c r="K757" s="138">
        <f t="shared" si="77"/>
        <v>17.765115000000002</v>
      </c>
    </row>
    <row r="758" spans="1:11">
      <c r="A758" s="139"/>
      <c r="E758" s="139"/>
      <c r="F758" s="139"/>
      <c r="I758" s="139"/>
      <c r="J758" s="139"/>
      <c r="K758" s="140"/>
    </row>
    <row r="759" spans="1:11">
      <c r="A759" s="128"/>
      <c r="B759" s="129" t="s">
        <v>1691</v>
      </c>
      <c r="C759" s="129" t="s">
        <v>1692</v>
      </c>
      <c r="D759" s="129" t="s">
        <v>1693</v>
      </c>
      <c r="E759" s="130" t="s">
        <v>0</v>
      </c>
      <c r="F759" s="130" t="s">
        <v>1694</v>
      </c>
      <c r="G759" s="129"/>
      <c r="H759" s="129" t="s">
        <v>1695</v>
      </c>
      <c r="I759" s="130" t="s">
        <v>1696</v>
      </c>
      <c r="J759" s="130" t="s">
        <v>1697</v>
      </c>
      <c r="K759" s="131" t="s">
        <v>1698</v>
      </c>
    </row>
    <row r="760" spans="1:11" ht="50.1" customHeight="1">
      <c r="A760" s="132" t="s">
        <v>1873</v>
      </c>
      <c r="B760" s="133" t="s">
        <v>1700</v>
      </c>
      <c r="C760" s="133" t="s">
        <v>698</v>
      </c>
      <c r="D760" s="133">
        <v>95782</v>
      </c>
      <c r="E760" s="134" t="s">
        <v>1874</v>
      </c>
      <c r="F760" s="134" t="s">
        <v>1852</v>
      </c>
      <c r="G760" s="133"/>
      <c r="H760" s="133" t="s">
        <v>411</v>
      </c>
      <c r="I760" s="134"/>
      <c r="J760" s="146"/>
      <c r="K760" s="135">
        <f>SUM(K761:K764)</f>
        <v>42.202149999999996</v>
      </c>
    </row>
    <row r="761" spans="1:11">
      <c r="A761" s="136" t="s">
        <v>1208</v>
      </c>
      <c r="B761" s="137" t="s">
        <v>792</v>
      </c>
      <c r="C761" s="137" t="s">
        <v>698</v>
      </c>
      <c r="D761" s="137">
        <v>2590</v>
      </c>
      <c r="E761" s="136" t="s">
        <v>1875</v>
      </c>
      <c r="F761" s="1033" t="s">
        <v>1703</v>
      </c>
      <c r="G761" s="1034"/>
      <c r="H761" s="137" t="s">
        <v>411</v>
      </c>
      <c r="I761" s="136">
        <v>1</v>
      </c>
      <c r="J761" s="136">
        <v>20.399999999999999</v>
      </c>
      <c r="K761" s="138">
        <f>J761*I761</f>
        <v>20.399999999999999</v>
      </c>
    </row>
    <row r="762" spans="1:11" ht="24.75">
      <c r="A762" s="136" t="s">
        <v>1208</v>
      </c>
      <c r="B762" s="137" t="s">
        <v>792</v>
      </c>
      <c r="C762" s="137" t="s">
        <v>698</v>
      </c>
      <c r="D762" s="137">
        <v>11950</v>
      </c>
      <c r="E762" s="136" t="s">
        <v>463</v>
      </c>
      <c r="F762" s="1033" t="s">
        <v>1703</v>
      </c>
      <c r="G762" s="1034"/>
      <c r="H762" s="137" t="s">
        <v>411</v>
      </c>
      <c r="I762" s="136">
        <v>2</v>
      </c>
      <c r="J762" s="136">
        <v>0.2</v>
      </c>
      <c r="K762" s="138">
        <f t="shared" ref="K762:K764" si="78">J762*I762</f>
        <v>0.4</v>
      </c>
    </row>
    <row r="763" spans="1:11">
      <c r="A763" s="136" t="s">
        <v>1208</v>
      </c>
      <c r="B763" s="137" t="s">
        <v>1705</v>
      </c>
      <c r="C763" s="137" t="s">
        <v>698</v>
      </c>
      <c r="D763" s="137">
        <v>88247</v>
      </c>
      <c r="E763" s="136" t="s">
        <v>474</v>
      </c>
      <c r="F763" s="1033" t="s">
        <v>1706</v>
      </c>
      <c r="G763" s="1034"/>
      <c r="H763" s="137" t="s">
        <v>412</v>
      </c>
      <c r="I763" s="136">
        <v>0.35699999999999998</v>
      </c>
      <c r="J763" s="136">
        <v>26.96</v>
      </c>
      <c r="K763" s="138">
        <f t="shared" si="78"/>
        <v>9.6247199999999999</v>
      </c>
    </row>
    <row r="764" spans="1:11">
      <c r="A764" s="136" t="s">
        <v>1208</v>
      </c>
      <c r="B764" s="137" t="s">
        <v>1705</v>
      </c>
      <c r="C764" s="137" t="s">
        <v>698</v>
      </c>
      <c r="D764" s="137">
        <v>88264</v>
      </c>
      <c r="E764" s="136" t="s">
        <v>475</v>
      </c>
      <c r="F764" s="1033" t="s">
        <v>1706</v>
      </c>
      <c r="G764" s="1034"/>
      <c r="H764" s="137" t="s">
        <v>412</v>
      </c>
      <c r="I764" s="136">
        <v>0.35699999999999998</v>
      </c>
      <c r="J764" s="136">
        <v>32.99</v>
      </c>
      <c r="K764" s="138">
        <f t="shared" si="78"/>
        <v>11.777430000000001</v>
      </c>
    </row>
    <row r="765" spans="1:11">
      <c r="A765" s="139"/>
      <c r="E765" s="139"/>
      <c r="F765" s="139"/>
      <c r="I765" s="139"/>
      <c r="J765" s="139"/>
      <c r="K765" s="140"/>
    </row>
    <row r="766" spans="1:11">
      <c r="A766" s="128"/>
      <c r="B766" s="129" t="s">
        <v>1691</v>
      </c>
      <c r="C766" s="129" t="s">
        <v>1692</v>
      </c>
      <c r="D766" s="129" t="s">
        <v>1693</v>
      </c>
      <c r="E766" s="130" t="s">
        <v>0</v>
      </c>
      <c r="F766" s="130" t="s">
        <v>1694</v>
      </c>
      <c r="G766" s="129"/>
      <c r="H766" s="129" t="s">
        <v>1695</v>
      </c>
      <c r="I766" s="130" t="s">
        <v>1696</v>
      </c>
      <c r="J766" s="130" t="s">
        <v>1697</v>
      </c>
      <c r="K766" s="131" t="s">
        <v>1698</v>
      </c>
    </row>
    <row r="767" spans="1:11" ht="50.1" customHeight="1">
      <c r="A767" s="132" t="s">
        <v>1876</v>
      </c>
      <c r="B767" s="133" t="s">
        <v>1700</v>
      </c>
      <c r="C767" s="133" t="s">
        <v>698</v>
      </c>
      <c r="D767" s="133">
        <v>96971</v>
      </c>
      <c r="E767" s="134" t="s">
        <v>497</v>
      </c>
      <c r="F767" s="134" t="s">
        <v>1852</v>
      </c>
      <c r="G767" s="133"/>
      <c r="H767" s="133" t="s">
        <v>405</v>
      </c>
      <c r="I767" s="134"/>
      <c r="J767" s="146"/>
      <c r="K767" s="135">
        <f>SUM(K768:K771)</f>
        <v>37.682214999999999</v>
      </c>
    </row>
    <row r="768" spans="1:11">
      <c r="A768" s="136" t="s">
        <v>1208</v>
      </c>
      <c r="B768" s="137" t="s">
        <v>792</v>
      </c>
      <c r="C768" s="137" t="s">
        <v>698</v>
      </c>
      <c r="D768" s="137">
        <v>857</v>
      </c>
      <c r="E768" s="136" t="s">
        <v>1877</v>
      </c>
      <c r="F768" s="1033" t="s">
        <v>1703</v>
      </c>
      <c r="G768" s="1034"/>
      <c r="H768" s="137" t="s">
        <v>405</v>
      </c>
      <c r="I768" s="136">
        <v>1.05</v>
      </c>
      <c r="J768" s="136">
        <v>17.2</v>
      </c>
      <c r="K768" s="138">
        <f>I768*J768</f>
        <v>18.059999999999999</v>
      </c>
    </row>
    <row r="769" spans="1:11">
      <c r="A769" s="136" t="s">
        <v>1208</v>
      </c>
      <c r="B769" s="137" t="s">
        <v>1705</v>
      </c>
      <c r="C769" s="137" t="s">
        <v>698</v>
      </c>
      <c r="D769" s="137">
        <v>88247</v>
      </c>
      <c r="E769" s="136" t="s">
        <v>474</v>
      </c>
      <c r="F769" s="1033" t="s">
        <v>1706</v>
      </c>
      <c r="G769" s="1034"/>
      <c r="H769" s="137" t="s">
        <v>412</v>
      </c>
      <c r="I769" s="136">
        <v>9.5699999999999993E-2</v>
      </c>
      <c r="J769" s="136">
        <v>26.96</v>
      </c>
      <c r="K769" s="138">
        <f t="shared" ref="K769:K771" si="79">I769*J769</f>
        <v>2.5800719999999999</v>
      </c>
    </row>
    <row r="770" spans="1:11">
      <c r="A770" s="136" t="s">
        <v>1208</v>
      </c>
      <c r="B770" s="137" t="s">
        <v>1705</v>
      </c>
      <c r="C770" s="137" t="s">
        <v>698</v>
      </c>
      <c r="D770" s="137">
        <v>88264</v>
      </c>
      <c r="E770" s="136" t="s">
        <v>475</v>
      </c>
      <c r="F770" s="1033" t="s">
        <v>1706</v>
      </c>
      <c r="G770" s="1034"/>
      <c r="H770" s="137" t="s">
        <v>412</v>
      </c>
      <c r="I770" s="136">
        <v>9.5699999999999993E-2</v>
      </c>
      <c r="J770" s="136">
        <v>32.99</v>
      </c>
      <c r="K770" s="138">
        <f t="shared" si="79"/>
        <v>3.157143</v>
      </c>
    </row>
    <row r="771" spans="1:11">
      <c r="A771" s="136" t="s">
        <v>1208</v>
      </c>
      <c r="B771" s="137" t="s">
        <v>1705</v>
      </c>
      <c r="C771" s="137" t="s">
        <v>698</v>
      </c>
      <c r="D771" s="137">
        <v>98463</v>
      </c>
      <c r="E771" s="136" t="s">
        <v>498</v>
      </c>
      <c r="F771" s="1033" t="s">
        <v>1855</v>
      </c>
      <c r="G771" s="1034"/>
      <c r="H771" s="137" t="s">
        <v>411</v>
      </c>
      <c r="I771" s="136">
        <v>0.5</v>
      </c>
      <c r="J771" s="136">
        <v>27.77</v>
      </c>
      <c r="K771" s="138">
        <f t="shared" si="79"/>
        <v>13.885</v>
      </c>
    </row>
    <row r="772" spans="1:11">
      <c r="A772" s="139"/>
      <c r="E772" s="139"/>
      <c r="F772" s="139"/>
      <c r="I772" s="139"/>
      <c r="J772" s="139"/>
      <c r="K772" s="140"/>
    </row>
    <row r="773" spans="1:11">
      <c r="A773" s="128"/>
      <c r="B773" s="129" t="s">
        <v>1691</v>
      </c>
      <c r="C773" s="129" t="s">
        <v>1692</v>
      </c>
      <c r="D773" s="129" t="s">
        <v>1693</v>
      </c>
      <c r="E773" s="130" t="s">
        <v>0</v>
      </c>
      <c r="F773" s="130" t="s">
        <v>1694</v>
      </c>
      <c r="G773" s="129"/>
      <c r="H773" s="129" t="s">
        <v>1695</v>
      </c>
      <c r="I773" s="130" t="s">
        <v>1696</v>
      </c>
      <c r="J773" s="130" t="s">
        <v>1697</v>
      </c>
      <c r="K773" s="131" t="s">
        <v>1698</v>
      </c>
    </row>
    <row r="774" spans="1:11" ht="50.1" customHeight="1">
      <c r="A774" s="132" t="s">
        <v>1878</v>
      </c>
      <c r="B774" s="133" t="s">
        <v>1700</v>
      </c>
      <c r="C774" s="133" t="s">
        <v>698</v>
      </c>
      <c r="D774" s="133">
        <v>98307</v>
      </c>
      <c r="E774" s="134" t="s">
        <v>514</v>
      </c>
      <c r="F774" s="134" t="s">
        <v>499</v>
      </c>
      <c r="G774" s="133"/>
      <c r="H774" s="133" t="s">
        <v>411</v>
      </c>
      <c r="I774" s="134"/>
      <c r="J774" s="146"/>
      <c r="K774" s="135">
        <f>SUM(K775:K777)</f>
        <v>48.341689999999993</v>
      </c>
    </row>
    <row r="775" spans="1:11" ht="24.75">
      <c r="A775" s="136" t="s">
        <v>1208</v>
      </c>
      <c r="B775" s="137" t="s">
        <v>792</v>
      </c>
      <c r="C775" s="137" t="s">
        <v>698</v>
      </c>
      <c r="D775" s="137">
        <v>38083</v>
      </c>
      <c r="E775" s="136" t="s">
        <v>515</v>
      </c>
      <c r="F775" s="1033" t="s">
        <v>1703</v>
      </c>
      <c r="G775" s="1034"/>
      <c r="H775" s="137" t="s">
        <v>411</v>
      </c>
      <c r="I775" s="136">
        <v>1</v>
      </c>
      <c r="J775" s="136">
        <v>35.979999999999997</v>
      </c>
      <c r="K775" s="138">
        <f>I775*J775</f>
        <v>35.979999999999997</v>
      </c>
    </row>
    <row r="776" spans="1:11">
      <c r="A776" s="136" t="s">
        <v>1208</v>
      </c>
      <c r="B776" s="137" t="s">
        <v>1705</v>
      </c>
      <c r="C776" s="137" t="s">
        <v>698</v>
      </c>
      <c r="D776" s="137">
        <v>88247</v>
      </c>
      <c r="E776" s="136" t="s">
        <v>474</v>
      </c>
      <c r="F776" s="1033" t="s">
        <v>1706</v>
      </c>
      <c r="G776" s="1034"/>
      <c r="H776" s="137" t="s">
        <v>412</v>
      </c>
      <c r="I776" s="136">
        <v>0.20619999999999999</v>
      </c>
      <c r="J776" s="136">
        <v>26.96</v>
      </c>
      <c r="K776" s="138">
        <f t="shared" ref="K776:K777" si="80">I776*J776</f>
        <v>5.5591520000000001</v>
      </c>
    </row>
    <row r="777" spans="1:11">
      <c r="A777" s="136" t="s">
        <v>1208</v>
      </c>
      <c r="B777" s="137" t="s">
        <v>1705</v>
      </c>
      <c r="C777" s="137" t="s">
        <v>698</v>
      </c>
      <c r="D777" s="137">
        <v>88264</v>
      </c>
      <c r="E777" s="136" t="s">
        <v>475</v>
      </c>
      <c r="F777" s="1033" t="s">
        <v>1706</v>
      </c>
      <c r="G777" s="1034"/>
      <c r="H777" s="137" t="s">
        <v>412</v>
      </c>
      <c r="I777" s="136">
        <v>0.20619999999999999</v>
      </c>
      <c r="J777" s="136">
        <v>32.99</v>
      </c>
      <c r="K777" s="138">
        <f t="shared" si="80"/>
        <v>6.8025380000000002</v>
      </c>
    </row>
    <row r="778" spans="1:11">
      <c r="A778" s="139"/>
      <c r="E778" s="139"/>
      <c r="F778" s="139"/>
      <c r="I778" s="139"/>
      <c r="J778" s="139"/>
      <c r="K778" s="140"/>
    </row>
    <row r="779" spans="1:11">
      <c r="A779" s="128"/>
      <c r="B779" s="129" t="s">
        <v>1691</v>
      </c>
      <c r="C779" s="129" t="s">
        <v>1692</v>
      </c>
      <c r="D779" s="129" t="s">
        <v>1693</v>
      </c>
      <c r="E779" s="130" t="s">
        <v>0</v>
      </c>
      <c r="F779" s="130" t="s">
        <v>1694</v>
      </c>
      <c r="G779" s="129"/>
      <c r="H779" s="129" t="s">
        <v>1695</v>
      </c>
      <c r="I779" s="130" t="s">
        <v>1696</v>
      </c>
      <c r="J779" s="130" t="s">
        <v>1697</v>
      </c>
      <c r="K779" s="131" t="s">
        <v>1698</v>
      </c>
    </row>
    <row r="780" spans="1:11" ht="50.1" customHeight="1">
      <c r="A780" s="132" t="s">
        <v>1879</v>
      </c>
      <c r="B780" s="133" t="s">
        <v>1700</v>
      </c>
      <c r="C780" s="133" t="s">
        <v>698</v>
      </c>
      <c r="D780" s="133">
        <v>98294</v>
      </c>
      <c r="E780" s="134" t="s">
        <v>513</v>
      </c>
      <c r="F780" s="134" t="s">
        <v>499</v>
      </c>
      <c r="G780" s="133"/>
      <c r="H780" s="133" t="s">
        <v>405</v>
      </c>
      <c r="I780" s="134"/>
      <c r="J780" s="146"/>
      <c r="K780" s="135">
        <f>SUM(K781:K783)</f>
        <v>6.6411550000000013</v>
      </c>
    </row>
    <row r="781" spans="1:11">
      <c r="A781" s="136" t="s">
        <v>1208</v>
      </c>
      <c r="B781" s="137" t="s">
        <v>792</v>
      </c>
      <c r="C781" s="137" t="s">
        <v>698</v>
      </c>
      <c r="D781" s="137">
        <v>39598</v>
      </c>
      <c r="E781" s="136" t="s">
        <v>1880</v>
      </c>
      <c r="F781" s="1033" t="s">
        <v>1703</v>
      </c>
      <c r="G781" s="1034"/>
      <c r="H781" s="137" t="s">
        <v>405</v>
      </c>
      <c r="I781" s="136">
        <v>1.05</v>
      </c>
      <c r="J781" s="136">
        <v>5.36</v>
      </c>
      <c r="K781" s="138">
        <f>I781*J781</f>
        <v>5.628000000000001</v>
      </c>
    </row>
    <row r="782" spans="1:11">
      <c r="A782" s="136" t="s">
        <v>1208</v>
      </c>
      <c r="B782" s="137" t="s">
        <v>1705</v>
      </c>
      <c r="C782" s="137" t="s">
        <v>698</v>
      </c>
      <c r="D782" s="137">
        <v>88247</v>
      </c>
      <c r="E782" s="136" t="s">
        <v>474</v>
      </c>
      <c r="F782" s="1033" t="s">
        <v>1706</v>
      </c>
      <c r="G782" s="1034"/>
      <c r="H782" s="137" t="s">
        <v>412</v>
      </c>
      <c r="I782" s="136">
        <v>1.6899999999999998E-2</v>
      </c>
      <c r="J782" s="136">
        <v>26.96</v>
      </c>
      <c r="K782" s="138">
        <f t="shared" ref="K782:K783" si="81">I782*J782</f>
        <v>0.45562399999999997</v>
      </c>
    </row>
    <row r="783" spans="1:11">
      <c r="A783" s="136" t="s">
        <v>1208</v>
      </c>
      <c r="B783" s="137" t="s">
        <v>1705</v>
      </c>
      <c r="C783" s="137" t="s">
        <v>698</v>
      </c>
      <c r="D783" s="137">
        <v>88264</v>
      </c>
      <c r="E783" s="136" t="s">
        <v>475</v>
      </c>
      <c r="F783" s="1033" t="s">
        <v>1706</v>
      </c>
      <c r="G783" s="1034"/>
      <c r="H783" s="137" t="s">
        <v>412</v>
      </c>
      <c r="I783" s="136">
        <v>1.6899999999999998E-2</v>
      </c>
      <c r="J783" s="136">
        <v>32.99</v>
      </c>
      <c r="K783" s="138">
        <f t="shared" si="81"/>
        <v>0.557531</v>
      </c>
    </row>
    <row r="784" spans="1:11">
      <c r="A784" s="139"/>
      <c r="E784" s="139"/>
      <c r="F784" s="139"/>
      <c r="I784" s="139"/>
      <c r="J784" s="139"/>
      <c r="K784" s="140"/>
    </row>
    <row r="785" spans="1:11">
      <c r="A785" s="128"/>
      <c r="B785" s="129" t="s">
        <v>1691</v>
      </c>
      <c r="C785" s="129" t="s">
        <v>1692</v>
      </c>
      <c r="D785" s="129" t="s">
        <v>1693</v>
      </c>
      <c r="E785" s="130" t="s">
        <v>0</v>
      </c>
      <c r="F785" s="130" t="s">
        <v>1694</v>
      </c>
      <c r="G785" s="129"/>
      <c r="H785" s="129" t="s">
        <v>1695</v>
      </c>
      <c r="I785" s="130" t="s">
        <v>1696</v>
      </c>
      <c r="J785" s="130" t="s">
        <v>1697</v>
      </c>
      <c r="K785" s="131" t="s">
        <v>1698</v>
      </c>
    </row>
    <row r="786" spans="1:11" ht="50.1" customHeight="1">
      <c r="A786" s="132" t="s">
        <v>1881</v>
      </c>
      <c r="B786" s="133" t="s">
        <v>1700</v>
      </c>
      <c r="C786" s="133" t="s">
        <v>698</v>
      </c>
      <c r="D786" s="133">
        <v>98593</v>
      </c>
      <c r="E786" s="134" t="s">
        <v>1882</v>
      </c>
      <c r="F786" s="134" t="s">
        <v>499</v>
      </c>
      <c r="G786" s="133"/>
      <c r="H786" s="133" t="s">
        <v>411</v>
      </c>
      <c r="I786" s="134"/>
      <c r="J786" s="146"/>
      <c r="K786" s="135">
        <f>SUM(K787:K789)</f>
        <v>2032.50982</v>
      </c>
    </row>
    <row r="787" spans="1:11">
      <c r="A787" s="136" t="s">
        <v>1208</v>
      </c>
      <c r="B787" s="137" t="s">
        <v>792</v>
      </c>
      <c r="C787" s="137" t="s">
        <v>698</v>
      </c>
      <c r="D787" s="137">
        <v>39595</v>
      </c>
      <c r="E787" s="136" t="s">
        <v>1883</v>
      </c>
      <c r="F787" s="1033" t="s">
        <v>1703</v>
      </c>
      <c r="G787" s="1034"/>
      <c r="H787" s="137" t="s">
        <v>411</v>
      </c>
      <c r="I787" s="136">
        <v>1</v>
      </c>
      <c r="J787" s="136">
        <v>1293.71</v>
      </c>
      <c r="K787" s="138">
        <f>I787*J787</f>
        <v>1293.71</v>
      </c>
    </row>
    <row r="788" spans="1:11">
      <c r="A788" s="136" t="s">
        <v>1208</v>
      </c>
      <c r="B788" s="137" t="s">
        <v>1705</v>
      </c>
      <c r="C788" s="137" t="s">
        <v>698</v>
      </c>
      <c r="D788" s="137">
        <v>88247</v>
      </c>
      <c r="E788" s="136" t="s">
        <v>474</v>
      </c>
      <c r="F788" s="1033" t="s">
        <v>1706</v>
      </c>
      <c r="G788" s="1034"/>
      <c r="H788" s="137" t="s">
        <v>412</v>
      </c>
      <c r="I788" s="136">
        <v>12.323600000000001</v>
      </c>
      <c r="J788" s="136">
        <v>26.96</v>
      </c>
      <c r="K788" s="138">
        <f t="shared" ref="K788:K789" si="82">I788*J788</f>
        <v>332.24425600000001</v>
      </c>
    </row>
    <row r="789" spans="1:11">
      <c r="A789" s="136" t="s">
        <v>1208</v>
      </c>
      <c r="B789" s="137" t="s">
        <v>1705</v>
      </c>
      <c r="C789" s="137" t="s">
        <v>698</v>
      </c>
      <c r="D789" s="137">
        <v>88264</v>
      </c>
      <c r="E789" s="136" t="s">
        <v>475</v>
      </c>
      <c r="F789" s="1033" t="s">
        <v>1706</v>
      </c>
      <c r="G789" s="1034"/>
      <c r="H789" s="137" t="s">
        <v>412</v>
      </c>
      <c r="I789" s="136">
        <v>12.323600000000001</v>
      </c>
      <c r="J789" s="136">
        <v>32.99</v>
      </c>
      <c r="K789" s="138">
        <f t="shared" si="82"/>
        <v>406.55556400000006</v>
      </c>
    </row>
    <row r="790" spans="1:11">
      <c r="A790" s="139"/>
      <c r="E790" s="139"/>
      <c r="F790" s="139"/>
      <c r="I790" s="139"/>
      <c r="J790" s="139"/>
      <c r="K790" s="140"/>
    </row>
    <row r="791" spans="1:11">
      <c r="A791" s="139"/>
      <c r="E791" s="139"/>
      <c r="F791" s="139"/>
      <c r="I791" s="139"/>
      <c r="J791" s="139"/>
      <c r="K791" s="140"/>
    </row>
    <row r="792" spans="1:11" ht="24.95" customHeight="1">
      <c r="A792" s="139"/>
      <c r="E792" s="141" t="s">
        <v>1884</v>
      </c>
      <c r="F792" s="139"/>
      <c r="I792" s="139"/>
      <c r="J792" s="139"/>
      <c r="K792" s="140"/>
    </row>
    <row r="793" spans="1:11">
      <c r="A793" s="139"/>
      <c r="E793" s="139"/>
      <c r="F793" s="139"/>
      <c r="I793" s="139"/>
      <c r="J793" s="139"/>
      <c r="K793" s="140"/>
    </row>
    <row r="794" spans="1:11">
      <c r="A794" s="139"/>
      <c r="E794" s="139"/>
      <c r="F794" s="139"/>
      <c r="I794" s="139"/>
      <c r="J794" s="139"/>
      <c r="K794" s="140"/>
    </row>
    <row r="795" spans="1:11" ht="47.25">
      <c r="A795" s="132" t="s">
        <v>1885</v>
      </c>
      <c r="B795" s="133" t="s">
        <v>1700</v>
      </c>
      <c r="C795" s="133" t="s">
        <v>698</v>
      </c>
      <c r="D795" s="133">
        <v>89383</v>
      </c>
      <c r="E795" s="134" t="s">
        <v>522</v>
      </c>
      <c r="F795" s="134" t="s">
        <v>516</v>
      </c>
      <c r="G795" s="133"/>
      <c r="H795" s="133" t="s">
        <v>411</v>
      </c>
      <c r="I795" s="134"/>
      <c r="J795" s="146"/>
      <c r="K795" s="135">
        <f>SUM(K797:K802)</f>
        <v>7.8712860000000013</v>
      </c>
    </row>
    <row r="796" spans="1:11" ht="50.1" customHeight="1">
      <c r="A796" s="128"/>
      <c r="B796" s="129" t="s">
        <v>1691</v>
      </c>
      <c r="C796" s="129" t="s">
        <v>1692</v>
      </c>
      <c r="D796" s="129" t="s">
        <v>1693</v>
      </c>
      <c r="E796" s="130" t="s">
        <v>0</v>
      </c>
      <c r="F796" s="130" t="s">
        <v>1694</v>
      </c>
      <c r="G796" s="129"/>
      <c r="H796" s="129" t="s">
        <v>1695</v>
      </c>
      <c r="I796" s="130" t="s">
        <v>1696</v>
      </c>
      <c r="J796" s="130" t="s">
        <v>1697</v>
      </c>
      <c r="K796" s="131" t="s">
        <v>1698</v>
      </c>
    </row>
    <row r="797" spans="1:11">
      <c r="A797" s="136" t="s">
        <v>1208</v>
      </c>
      <c r="B797" s="137" t="s">
        <v>792</v>
      </c>
      <c r="C797" s="137" t="s">
        <v>698</v>
      </c>
      <c r="D797" s="137">
        <v>65</v>
      </c>
      <c r="E797" s="136" t="s">
        <v>1886</v>
      </c>
      <c r="F797" s="1033" t="s">
        <v>1703</v>
      </c>
      <c r="G797" s="1034"/>
      <c r="H797" s="137" t="s">
        <v>411</v>
      </c>
      <c r="I797" s="136">
        <v>1</v>
      </c>
      <c r="J797" s="136">
        <v>1.25</v>
      </c>
      <c r="K797" s="138">
        <f>I797*J797</f>
        <v>1.25</v>
      </c>
    </row>
    <row r="798" spans="1:11">
      <c r="A798" s="136" t="s">
        <v>1208</v>
      </c>
      <c r="B798" s="137" t="s">
        <v>792</v>
      </c>
      <c r="C798" s="137" t="s">
        <v>698</v>
      </c>
      <c r="D798" s="137">
        <v>122</v>
      </c>
      <c r="E798" s="136" t="s">
        <v>1827</v>
      </c>
      <c r="F798" s="1033" t="s">
        <v>1703</v>
      </c>
      <c r="G798" s="1034"/>
      <c r="H798" s="137" t="s">
        <v>411</v>
      </c>
      <c r="I798" s="136">
        <v>5.8999999999999999E-3</v>
      </c>
      <c r="J798" s="136">
        <v>76.17</v>
      </c>
      <c r="K798" s="138">
        <f t="shared" ref="K798:K802" si="83">I798*J798</f>
        <v>0.449403</v>
      </c>
    </row>
    <row r="799" spans="1:11">
      <c r="A799" s="136" t="s">
        <v>1208</v>
      </c>
      <c r="B799" s="137" t="s">
        <v>792</v>
      </c>
      <c r="C799" s="137" t="s">
        <v>698</v>
      </c>
      <c r="D799" s="137">
        <v>20083</v>
      </c>
      <c r="E799" s="136" t="s">
        <v>1828</v>
      </c>
      <c r="F799" s="1033" t="s">
        <v>1703</v>
      </c>
      <c r="G799" s="1034"/>
      <c r="H799" s="137" t="s">
        <v>411</v>
      </c>
      <c r="I799" s="136">
        <v>7.0000000000000001E-3</v>
      </c>
      <c r="J799" s="136">
        <v>86.3</v>
      </c>
      <c r="K799" s="138">
        <f t="shared" si="83"/>
        <v>0.60409999999999997</v>
      </c>
    </row>
    <row r="800" spans="1:11">
      <c r="A800" s="136" t="s">
        <v>1208</v>
      </c>
      <c r="B800" s="137" t="s">
        <v>792</v>
      </c>
      <c r="C800" s="137" t="s">
        <v>698</v>
      </c>
      <c r="D800" s="137">
        <v>38383</v>
      </c>
      <c r="E800" s="136" t="s">
        <v>1825</v>
      </c>
      <c r="F800" s="1033" t="s">
        <v>1703</v>
      </c>
      <c r="G800" s="1034"/>
      <c r="H800" s="137" t="s">
        <v>411</v>
      </c>
      <c r="I800" s="136">
        <v>3.15E-2</v>
      </c>
      <c r="J800" s="136">
        <v>2.13</v>
      </c>
      <c r="K800" s="138">
        <f t="shared" si="83"/>
        <v>6.7095000000000002E-2</v>
      </c>
    </row>
    <row r="801" spans="1:11">
      <c r="A801" s="136" t="s">
        <v>1208</v>
      </c>
      <c r="B801" s="137" t="s">
        <v>1705</v>
      </c>
      <c r="C801" s="137" t="s">
        <v>698</v>
      </c>
      <c r="D801" s="137">
        <v>88248</v>
      </c>
      <c r="E801" s="136" t="s">
        <v>505</v>
      </c>
      <c r="F801" s="1033" t="s">
        <v>1706</v>
      </c>
      <c r="G801" s="1034"/>
      <c r="H801" s="137" t="s">
        <v>412</v>
      </c>
      <c r="I801" s="136">
        <v>9.4399999999999998E-2</v>
      </c>
      <c r="J801" s="136">
        <v>26.14</v>
      </c>
      <c r="K801" s="138">
        <f t="shared" si="83"/>
        <v>2.467616</v>
      </c>
    </row>
    <row r="802" spans="1:11">
      <c r="A802" s="136" t="s">
        <v>1208</v>
      </c>
      <c r="B802" s="137" t="s">
        <v>1705</v>
      </c>
      <c r="C802" s="137" t="s">
        <v>698</v>
      </c>
      <c r="D802" s="137">
        <v>88267</v>
      </c>
      <c r="E802" s="136" t="s">
        <v>506</v>
      </c>
      <c r="F802" s="1033" t="s">
        <v>1706</v>
      </c>
      <c r="G802" s="1034"/>
      <c r="H802" s="137" t="s">
        <v>412</v>
      </c>
      <c r="I802" s="136">
        <v>9.4399999999999998E-2</v>
      </c>
      <c r="J802" s="136">
        <v>32.130000000000003</v>
      </c>
      <c r="K802" s="138">
        <f t="shared" si="83"/>
        <v>3.0330720000000002</v>
      </c>
    </row>
    <row r="803" spans="1:11">
      <c r="A803" s="139"/>
      <c r="E803" s="139"/>
      <c r="F803" s="139"/>
      <c r="I803" s="139"/>
      <c r="J803" s="139"/>
      <c r="K803" s="140"/>
    </row>
    <row r="804" spans="1:11">
      <c r="A804" s="139"/>
      <c r="E804" s="139"/>
      <c r="F804" s="139"/>
      <c r="I804" s="139"/>
      <c r="J804" s="139"/>
      <c r="K804" s="140"/>
    </row>
    <row r="805" spans="1:11" ht="15.75">
      <c r="A805" s="132" t="s">
        <v>1887</v>
      </c>
      <c r="B805" s="133" t="s">
        <v>1700</v>
      </c>
      <c r="C805" s="133" t="s">
        <v>698</v>
      </c>
      <c r="D805" s="133">
        <v>88243</v>
      </c>
      <c r="E805" s="134" t="s">
        <v>448</v>
      </c>
      <c r="F805" s="134" t="s">
        <v>601</v>
      </c>
      <c r="G805" s="133"/>
      <c r="H805" s="133" t="s">
        <v>412</v>
      </c>
      <c r="I805" s="134"/>
      <c r="J805" s="146"/>
      <c r="K805" s="135">
        <f>SUM(K807:K814)</f>
        <v>26.299999999999997</v>
      </c>
    </row>
    <row r="806" spans="1:11" ht="50.1" customHeight="1">
      <c r="A806" s="128"/>
      <c r="B806" s="129" t="s">
        <v>1691</v>
      </c>
      <c r="C806" s="129" t="s">
        <v>1692</v>
      </c>
      <c r="D806" s="129" t="s">
        <v>1693</v>
      </c>
      <c r="E806" s="130" t="s">
        <v>0</v>
      </c>
      <c r="F806" s="130" t="s">
        <v>1694</v>
      </c>
      <c r="G806" s="129"/>
      <c r="H806" s="129" t="s">
        <v>1695</v>
      </c>
      <c r="I806" s="130" t="s">
        <v>1696</v>
      </c>
      <c r="J806" s="130" t="s">
        <v>1697</v>
      </c>
      <c r="K806" s="131" t="s">
        <v>1698</v>
      </c>
    </row>
    <row r="807" spans="1:11">
      <c r="A807" s="136" t="s">
        <v>1208</v>
      </c>
      <c r="B807" s="137" t="s">
        <v>792</v>
      </c>
      <c r="C807" s="137" t="s">
        <v>698</v>
      </c>
      <c r="D807" s="137">
        <v>242</v>
      </c>
      <c r="E807" s="136" t="s">
        <v>1888</v>
      </c>
      <c r="F807" s="1033" t="s">
        <v>1702</v>
      </c>
      <c r="G807" s="1034"/>
      <c r="H807" s="137" t="s">
        <v>412</v>
      </c>
      <c r="I807" s="136">
        <v>1</v>
      </c>
      <c r="J807" s="136">
        <v>18.64</v>
      </c>
      <c r="K807" s="138">
        <f>I807*J807</f>
        <v>18.64</v>
      </c>
    </row>
    <row r="808" spans="1:11">
      <c r="A808" s="136" t="s">
        <v>1208</v>
      </c>
      <c r="B808" s="137" t="s">
        <v>792</v>
      </c>
      <c r="C808" s="137" t="s">
        <v>698</v>
      </c>
      <c r="D808" s="137">
        <v>37370</v>
      </c>
      <c r="E808" s="136" t="s">
        <v>653</v>
      </c>
      <c r="F808" s="1033" t="s">
        <v>1703</v>
      </c>
      <c r="G808" s="1034"/>
      <c r="H808" s="137" t="s">
        <v>412</v>
      </c>
      <c r="I808" s="136">
        <v>1</v>
      </c>
      <c r="J808" s="136">
        <v>3.91</v>
      </c>
      <c r="K808" s="138">
        <f t="shared" ref="K808:K814" si="84">I808*J808</f>
        <v>3.91</v>
      </c>
    </row>
    <row r="809" spans="1:11">
      <c r="A809" s="136" t="s">
        <v>1208</v>
      </c>
      <c r="B809" s="137" t="s">
        <v>792</v>
      </c>
      <c r="C809" s="137" t="s">
        <v>698</v>
      </c>
      <c r="D809" s="137">
        <v>37371</v>
      </c>
      <c r="E809" s="136" t="s">
        <v>654</v>
      </c>
      <c r="F809" s="1033" t="s">
        <v>1889</v>
      </c>
      <c r="G809" s="1034"/>
      <c r="H809" s="137" t="s">
        <v>412</v>
      </c>
      <c r="I809" s="136">
        <v>1</v>
      </c>
      <c r="J809" s="136">
        <v>1</v>
      </c>
      <c r="K809" s="138">
        <f t="shared" si="84"/>
        <v>1</v>
      </c>
    </row>
    <row r="810" spans="1:11">
      <c r="A810" s="136" t="s">
        <v>1208</v>
      </c>
      <c r="B810" s="137" t="s">
        <v>792</v>
      </c>
      <c r="C810" s="137" t="s">
        <v>698</v>
      </c>
      <c r="D810" s="137">
        <v>37372</v>
      </c>
      <c r="E810" s="136" t="s">
        <v>655</v>
      </c>
      <c r="F810" s="1033" t="s">
        <v>1703</v>
      </c>
      <c r="G810" s="1034"/>
      <c r="H810" s="137" t="s">
        <v>412</v>
      </c>
      <c r="I810" s="136">
        <v>1</v>
      </c>
      <c r="J810" s="136">
        <v>0.81</v>
      </c>
      <c r="K810" s="138">
        <f t="shared" si="84"/>
        <v>0.81</v>
      </c>
    </row>
    <row r="811" spans="1:11">
      <c r="A811" s="136" t="s">
        <v>1208</v>
      </c>
      <c r="B811" s="137" t="s">
        <v>792</v>
      </c>
      <c r="C811" s="137" t="s">
        <v>698</v>
      </c>
      <c r="D811" s="137">
        <v>37373</v>
      </c>
      <c r="E811" s="136" t="s">
        <v>656</v>
      </c>
      <c r="F811" s="1033" t="s">
        <v>1890</v>
      </c>
      <c r="G811" s="1034"/>
      <c r="H811" s="137" t="s">
        <v>412</v>
      </c>
      <c r="I811" s="136">
        <v>1</v>
      </c>
      <c r="J811" s="136">
        <v>0.06</v>
      </c>
      <c r="K811" s="138">
        <f t="shared" si="84"/>
        <v>0.06</v>
      </c>
    </row>
    <row r="812" spans="1:11">
      <c r="A812" s="136" t="s">
        <v>1208</v>
      </c>
      <c r="B812" s="137" t="s">
        <v>792</v>
      </c>
      <c r="C812" s="137" t="s">
        <v>698</v>
      </c>
      <c r="D812" s="137">
        <v>43467</v>
      </c>
      <c r="E812" s="136" t="s">
        <v>657</v>
      </c>
      <c r="F812" s="1033" t="s">
        <v>1704</v>
      </c>
      <c r="G812" s="1034"/>
      <c r="H812" s="137" t="s">
        <v>412</v>
      </c>
      <c r="I812" s="136">
        <v>1</v>
      </c>
      <c r="J812" s="136">
        <v>0.56000000000000005</v>
      </c>
      <c r="K812" s="138">
        <f t="shared" si="84"/>
        <v>0.56000000000000005</v>
      </c>
    </row>
    <row r="813" spans="1:11">
      <c r="A813" s="136" t="s">
        <v>1208</v>
      </c>
      <c r="B813" s="137" t="s">
        <v>792</v>
      </c>
      <c r="C813" s="137" t="s">
        <v>698</v>
      </c>
      <c r="D813" s="137">
        <v>43491</v>
      </c>
      <c r="E813" s="136" t="s">
        <v>1891</v>
      </c>
      <c r="F813" s="1033" t="s">
        <v>1704</v>
      </c>
      <c r="G813" s="1034"/>
      <c r="H813" s="137" t="s">
        <v>412</v>
      </c>
      <c r="I813" s="136">
        <v>1</v>
      </c>
      <c r="J813" s="136">
        <v>1.1499999999999999</v>
      </c>
      <c r="K813" s="138">
        <f t="shared" si="84"/>
        <v>1.1499999999999999</v>
      </c>
    </row>
    <row r="814" spans="1:11">
      <c r="A814" s="136" t="s">
        <v>1208</v>
      </c>
      <c r="B814" s="137" t="s">
        <v>1705</v>
      </c>
      <c r="C814" s="137" t="s">
        <v>698</v>
      </c>
      <c r="D814" s="137">
        <v>95313</v>
      </c>
      <c r="E814" s="136" t="s">
        <v>1892</v>
      </c>
      <c r="F814" s="1033" t="s">
        <v>1706</v>
      </c>
      <c r="G814" s="1034"/>
      <c r="H814" s="137" t="s">
        <v>412</v>
      </c>
      <c r="I814" s="136">
        <v>1</v>
      </c>
      <c r="J814" s="136">
        <v>0.17</v>
      </c>
      <c r="K814" s="138">
        <f t="shared" si="84"/>
        <v>0.17</v>
      </c>
    </row>
    <row r="815" spans="1:11">
      <c r="A815" s="139"/>
      <c r="E815" s="139"/>
      <c r="F815" s="139"/>
      <c r="I815" s="139"/>
      <c r="J815" s="139"/>
      <c r="K815" s="140"/>
    </row>
    <row r="816" spans="1:11">
      <c r="A816" s="139"/>
      <c r="E816" s="139"/>
      <c r="F816" s="139"/>
      <c r="I816" s="139"/>
      <c r="J816" s="139"/>
      <c r="K816" s="140"/>
    </row>
    <row r="817" spans="1:11" ht="31.5">
      <c r="A817" s="132" t="s">
        <v>1893</v>
      </c>
      <c r="B817" s="133" t="s">
        <v>1700</v>
      </c>
      <c r="C817" s="133" t="s">
        <v>698</v>
      </c>
      <c r="D817" s="133">
        <v>100660</v>
      </c>
      <c r="E817" s="134" t="s">
        <v>457</v>
      </c>
      <c r="F817" s="134" t="s">
        <v>450</v>
      </c>
      <c r="G817" s="133"/>
      <c r="H817" s="133" t="s">
        <v>405</v>
      </c>
      <c r="I817" s="134"/>
      <c r="J817" s="146"/>
      <c r="K817" s="135">
        <f>SUM(K819:K822)</f>
        <v>9.8321699999999996</v>
      </c>
    </row>
    <row r="818" spans="1:11" ht="50.1" customHeight="1">
      <c r="A818" s="128"/>
      <c r="B818" s="129" t="s">
        <v>1691</v>
      </c>
      <c r="C818" s="129" t="s">
        <v>1692</v>
      </c>
      <c r="D818" s="129" t="s">
        <v>1693</v>
      </c>
      <c r="E818" s="130" t="s">
        <v>0</v>
      </c>
      <c r="F818" s="130" t="s">
        <v>1694</v>
      </c>
      <c r="G818" s="129"/>
      <c r="H818" s="129" t="s">
        <v>1695</v>
      </c>
      <c r="I818" s="130" t="s">
        <v>1696</v>
      </c>
      <c r="J818" s="130" t="s">
        <v>1697</v>
      </c>
      <c r="K818" s="131" t="s">
        <v>1698</v>
      </c>
    </row>
    <row r="819" spans="1:11" ht="24.75">
      <c r="A819" s="136" t="s">
        <v>1208</v>
      </c>
      <c r="B819" s="137" t="s">
        <v>792</v>
      </c>
      <c r="C819" s="137" t="s">
        <v>698</v>
      </c>
      <c r="D819" s="137">
        <v>20007</v>
      </c>
      <c r="E819" s="136" t="s">
        <v>1894</v>
      </c>
      <c r="F819" s="1033" t="s">
        <v>1703</v>
      </c>
      <c r="G819" s="1034"/>
      <c r="H819" s="137" t="s">
        <v>405</v>
      </c>
      <c r="I819" s="136">
        <v>1.163</v>
      </c>
      <c r="J819" s="136">
        <v>5.55</v>
      </c>
      <c r="K819" s="138">
        <f>I819*J819</f>
        <v>6.45465</v>
      </c>
    </row>
    <row r="820" spans="1:11">
      <c r="A820" s="136" t="s">
        <v>1208</v>
      </c>
      <c r="B820" s="137" t="s">
        <v>792</v>
      </c>
      <c r="C820" s="137" t="s">
        <v>698</v>
      </c>
      <c r="D820" s="137">
        <v>39026</v>
      </c>
      <c r="E820" s="136" t="s">
        <v>1895</v>
      </c>
      <c r="F820" s="1033" t="s">
        <v>1703</v>
      </c>
      <c r="G820" s="1034"/>
      <c r="H820" s="137" t="s">
        <v>415</v>
      </c>
      <c r="I820" s="136">
        <v>6.0000000000000001E-3</v>
      </c>
      <c r="J820" s="136">
        <v>29.97</v>
      </c>
      <c r="K820" s="138">
        <f t="shared" ref="K820:K822" si="85">I820*J820</f>
        <v>0.17982000000000001</v>
      </c>
    </row>
    <row r="821" spans="1:11">
      <c r="A821" s="136" t="s">
        <v>1208</v>
      </c>
      <c r="B821" s="137" t="s">
        <v>1705</v>
      </c>
      <c r="C821" s="137" t="s">
        <v>698</v>
      </c>
      <c r="D821" s="137">
        <v>88261</v>
      </c>
      <c r="E821" s="136" t="s">
        <v>451</v>
      </c>
      <c r="F821" s="1033" t="s">
        <v>1706</v>
      </c>
      <c r="G821" s="1034"/>
      <c r="H821" s="137" t="s">
        <v>412</v>
      </c>
      <c r="I821" s="136">
        <v>6.8000000000000005E-2</v>
      </c>
      <c r="J821" s="136">
        <v>34.28</v>
      </c>
      <c r="K821" s="138">
        <f t="shared" si="85"/>
        <v>2.3310400000000002</v>
      </c>
    </row>
    <row r="822" spans="1:11">
      <c r="A822" s="136" t="s">
        <v>1208</v>
      </c>
      <c r="B822" s="137" t="s">
        <v>1705</v>
      </c>
      <c r="C822" s="137" t="s">
        <v>698</v>
      </c>
      <c r="D822" s="137">
        <v>88316</v>
      </c>
      <c r="E822" s="136" t="s">
        <v>414</v>
      </c>
      <c r="F822" s="1033" t="s">
        <v>1706</v>
      </c>
      <c r="G822" s="1034"/>
      <c r="H822" s="137" t="s">
        <v>412</v>
      </c>
      <c r="I822" s="136">
        <v>3.4000000000000002E-2</v>
      </c>
      <c r="J822" s="136">
        <v>25.49</v>
      </c>
      <c r="K822" s="138">
        <f t="shared" si="85"/>
        <v>0.86665999999999999</v>
      </c>
    </row>
    <row r="823" spans="1:11">
      <c r="A823" s="139"/>
      <c r="E823" s="139"/>
      <c r="F823" s="139"/>
      <c r="I823" s="139"/>
      <c r="J823" s="139"/>
      <c r="K823" s="140"/>
    </row>
    <row r="824" spans="1:11">
      <c r="A824" s="139"/>
      <c r="E824" s="139"/>
      <c r="F824" s="139"/>
      <c r="I824" s="139"/>
      <c r="J824" s="139"/>
      <c r="K824" s="140"/>
    </row>
    <row r="825" spans="1:11" ht="31.5">
      <c r="A825" s="132" t="s">
        <v>1896</v>
      </c>
      <c r="B825" s="133" t="s">
        <v>1700</v>
      </c>
      <c r="C825" s="133" t="s">
        <v>698</v>
      </c>
      <c r="D825" s="133">
        <v>87407</v>
      </c>
      <c r="E825" s="134" t="s">
        <v>633</v>
      </c>
      <c r="F825" s="134" t="s">
        <v>601</v>
      </c>
      <c r="G825" s="133"/>
      <c r="H825" s="133" t="s">
        <v>417</v>
      </c>
      <c r="I825" s="134"/>
      <c r="J825" s="146"/>
      <c r="K825" s="135">
        <f>SUM(K827:K830)</f>
        <v>1543.9886000000001</v>
      </c>
    </row>
    <row r="826" spans="1:11" ht="50.1" customHeight="1">
      <c r="A826" s="128"/>
      <c r="B826" s="129" t="s">
        <v>1691</v>
      </c>
      <c r="C826" s="129" t="s">
        <v>1692</v>
      </c>
      <c r="D826" s="129" t="s">
        <v>1693</v>
      </c>
      <c r="E826" s="130" t="s">
        <v>0</v>
      </c>
      <c r="F826" s="130" t="s">
        <v>1694</v>
      </c>
      <c r="G826" s="129"/>
      <c r="H826" s="129" t="s">
        <v>1695</v>
      </c>
      <c r="I826" s="130" t="s">
        <v>1696</v>
      </c>
      <c r="J826" s="130" t="s">
        <v>1697</v>
      </c>
      <c r="K826" s="131" t="s">
        <v>1698</v>
      </c>
    </row>
    <row r="827" spans="1:11" ht="24.75">
      <c r="A827" s="136" t="s">
        <v>1208</v>
      </c>
      <c r="B827" s="137" t="s">
        <v>792</v>
      </c>
      <c r="C827" s="137" t="s">
        <v>698</v>
      </c>
      <c r="D827" s="137">
        <v>371</v>
      </c>
      <c r="E827" s="136" t="s">
        <v>1897</v>
      </c>
      <c r="F827" s="1033" t="s">
        <v>1703</v>
      </c>
      <c r="G827" s="1034"/>
      <c r="H827" s="137" t="s">
        <v>415</v>
      </c>
      <c r="I827" s="136">
        <v>1857.06</v>
      </c>
      <c r="J827" s="136">
        <v>0.75</v>
      </c>
      <c r="K827" s="138">
        <f>I827*J827</f>
        <v>1392.7950000000001</v>
      </c>
    </row>
    <row r="828" spans="1:11">
      <c r="A828" s="136" t="s">
        <v>1208</v>
      </c>
      <c r="B828" s="137" t="s">
        <v>1705</v>
      </c>
      <c r="C828" s="137" t="s">
        <v>698</v>
      </c>
      <c r="D828" s="137">
        <v>88377</v>
      </c>
      <c r="E828" s="136" t="s">
        <v>1898</v>
      </c>
      <c r="F828" s="1033" t="s">
        <v>1706</v>
      </c>
      <c r="G828" s="1034"/>
      <c r="H828" s="137" t="s">
        <v>412</v>
      </c>
      <c r="I828" s="136">
        <v>4.24</v>
      </c>
      <c r="J828" s="136">
        <v>28.41</v>
      </c>
      <c r="K828" s="138">
        <f t="shared" ref="K828:K830" si="86">I828*J828</f>
        <v>120.45840000000001</v>
      </c>
    </row>
    <row r="829" spans="1:11" ht="24.75">
      <c r="A829" s="136" t="s">
        <v>1208</v>
      </c>
      <c r="B829" s="137" t="s">
        <v>1705</v>
      </c>
      <c r="C829" s="137" t="s">
        <v>698</v>
      </c>
      <c r="D829" s="137">
        <v>88418</v>
      </c>
      <c r="E829" s="136" t="s">
        <v>1899</v>
      </c>
      <c r="F829" s="1033" t="s">
        <v>1737</v>
      </c>
      <c r="G829" s="1034"/>
      <c r="H829" s="137" t="s">
        <v>407</v>
      </c>
      <c r="I829" s="136">
        <v>0.67</v>
      </c>
      <c r="J829" s="136">
        <v>13.85</v>
      </c>
      <c r="K829" s="138">
        <f t="shared" si="86"/>
        <v>9.2795000000000005</v>
      </c>
    </row>
    <row r="830" spans="1:11" ht="24.75">
      <c r="A830" s="136" t="s">
        <v>1208</v>
      </c>
      <c r="B830" s="137" t="s">
        <v>1705</v>
      </c>
      <c r="C830" s="137" t="s">
        <v>698</v>
      </c>
      <c r="D830" s="137">
        <v>88430</v>
      </c>
      <c r="E830" s="136" t="s">
        <v>1900</v>
      </c>
      <c r="F830" s="1033" t="s">
        <v>1737</v>
      </c>
      <c r="G830" s="1034"/>
      <c r="H830" s="137" t="s">
        <v>408</v>
      </c>
      <c r="I830" s="136">
        <v>3.57</v>
      </c>
      <c r="J830" s="136">
        <v>6.01</v>
      </c>
      <c r="K830" s="138">
        <f t="shared" si="86"/>
        <v>21.455699999999997</v>
      </c>
    </row>
    <row r="831" spans="1:11">
      <c r="A831" s="139"/>
      <c r="E831" s="139"/>
      <c r="F831" s="139"/>
      <c r="I831" s="139"/>
      <c r="J831" s="139"/>
      <c r="K831" s="140"/>
    </row>
    <row r="832" spans="1:11">
      <c r="A832" s="139"/>
      <c r="E832" s="139"/>
      <c r="F832" s="139"/>
      <c r="I832" s="139"/>
      <c r="J832" s="139"/>
      <c r="K832" s="140"/>
    </row>
    <row r="833" spans="1:11" ht="47.25">
      <c r="A833" s="132" t="s">
        <v>1901</v>
      </c>
      <c r="B833" s="133" t="s">
        <v>1700</v>
      </c>
      <c r="C833" s="133" t="s">
        <v>698</v>
      </c>
      <c r="D833" s="133">
        <v>87367</v>
      </c>
      <c r="E833" s="134" t="s">
        <v>479</v>
      </c>
      <c r="F833" s="134" t="s">
        <v>601</v>
      </c>
      <c r="G833" s="133"/>
      <c r="H833" s="133" t="s">
        <v>417</v>
      </c>
      <c r="I833" s="134"/>
      <c r="J833" s="146"/>
      <c r="K833" s="135">
        <f>SUM(K835:K838)</f>
        <v>687.42669999999998</v>
      </c>
    </row>
    <row r="834" spans="1:11" ht="50.1" customHeight="1">
      <c r="A834" s="128"/>
      <c r="B834" s="129" t="s">
        <v>1691</v>
      </c>
      <c r="C834" s="129" t="s">
        <v>1692</v>
      </c>
      <c r="D834" s="129" t="s">
        <v>1693</v>
      </c>
      <c r="E834" s="130" t="s">
        <v>0</v>
      </c>
      <c r="F834" s="130" t="s">
        <v>1694</v>
      </c>
      <c r="G834" s="129"/>
      <c r="H834" s="129" t="s">
        <v>1695</v>
      </c>
      <c r="I834" s="130" t="s">
        <v>1696</v>
      </c>
      <c r="J834" s="130" t="s">
        <v>1697</v>
      </c>
      <c r="K834" s="131" t="s">
        <v>1698</v>
      </c>
    </row>
    <row r="835" spans="1:11">
      <c r="A835" s="136" t="s">
        <v>1208</v>
      </c>
      <c r="B835" s="137" t="s">
        <v>792</v>
      </c>
      <c r="C835" s="137" t="s">
        <v>698</v>
      </c>
      <c r="D835" s="137">
        <v>370</v>
      </c>
      <c r="E835" s="136" t="s">
        <v>1902</v>
      </c>
      <c r="F835" s="1033" t="s">
        <v>1703</v>
      </c>
      <c r="G835" s="1034"/>
      <c r="H835" s="137" t="s">
        <v>417</v>
      </c>
      <c r="I835" s="136">
        <v>1.1599999999999999</v>
      </c>
      <c r="J835" s="136">
        <v>100</v>
      </c>
      <c r="K835" s="138">
        <f>I835*J835</f>
        <v>115.99999999999999</v>
      </c>
    </row>
    <row r="836" spans="1:11">
      <c r="A836" s="136" t="s">
        <v>1208</v>
      </c>
      <c r="B836" s="137" t="s">
        <v>792</v>
      </c>
      <c r="C836" s="137" t="s">
        <v>698</v>
      </c>
      <c r="D836" s="137">
        <v>1106</v>
      </c>
      <c r="E836" s="136" t="s">
        <v>1903</v>
      </c>
      <c r="F836" s="1033" t="s">
        <v>1703</v>
      </c>
      <c r="G836" s="1034"/>
      <c r="H836" s="137" t="s">
        <v>415</v>
      </c>
      <c r="I836" s="136">
        <v>116.4</v>
      </c>
      <c r="J836" s="136">
        <v>1.1000000000000001</v>
      </c>
      <c r="K836" s="138">
        <f t="shared" ref="K836:K838" si="87">I836*J836</f>
        <v>128.04000000000002</v>
      </c>
    </row>
    <row r="837" spans="1:11">
      <c r="A837" s="136" t="s">
        <v>1208</v>
      </c>
      <c r="B837" s="137" t="s">
        <v>792</v>
      </c>
      <c r="C837" s="137" t="s">
        <v>698</v>
      </c>
      <c r="D837" s="137">
        <v>1379</v>
      </c>
      <c r="E837" s="136" t="s">
        <v>1904</v>
      </c>
      <c r="F837" s="1033" t="s">
        <v>1703</v>
      </c>
      <c r="G837" s="1034"/>
      <c r="H837" s="137" t="s">
        <v>415</v>
      </c>
      <c r="I837" s="136">
        <v>261.89</v>
      </c>
      <c r="J837" s="136">
        <v>0.6</v>
      </c>
      <c r="K837" s="138">
        <f t="shared" si="87"/>
        <v>157.13399999999999</v>
      </c>
    </row>
    <row r="838" spans="1:11">
      <c r="A838" s="136" t="s">
        <v>1208</v>
      </c>
      <c r="B838" s="137" t="s">
        <v>1705</v>
      </c>
      <c r="C838" s="137" t="s">
        <v>698</v>
      </c>
      <c r="D838" s="137">
        <v>88316</v>
      </c>
      <c r="E838" s="136" t="s">
        <v>414</v>
      </c>
      <c r="F838" s="1033" t="s">
        <v>1706</v>
      </c>
      <c r="G838" s="1034"/>
      <c r="H838" s="137" t="s">
        <v>412</v>
      </c>
      <c r="I838" s="136">
        <v>11.23</v>
      </c>
      <c r="J838" s="136">
        <v>25.49</v>
      </c>
      <c r="K838" s="138">
        <f t="shared" si="87"/>
        <v>286.2527</v>
      </c>
    </row>
    <row r="839" spans="1:11">
      <c r="A839" s="139"/>
      <c r="E839" s="139"/>
      <c r="F839" s="139"/>
      <c r="I839" s="139"/>
      <c r="J839" s="139"/>
      <c r="K839" s="140"/>
    </row>
    <row r="840" spans="1:11">
      <c r="A840" s="139"/>
      <c r="E840" s="139"/>
      <c r="F840" s="139"/>
      <c r="I840" s="139"/>
      <c r="J840" s="139"/>
      <c r="K840" s="140"/>
    </row>
    <row r="841" spans="1:11" ht="47.25">
      <c r="A841" s="132" t="s">
        <v>1905</v>
      </c>
      <c r="B841" s="133" t="s">
        <v>1700</v>
      </c>
      <c r="C841" s="133" t="s">
        <v>698</v>
      </c>
      <c r="D841" s="133">
        <v>87292</v>
      </c>
      <c r="E841" s="134" t="s">
        <v>468</v>
      </c>
      <c r="F841" s="134" t="s">
        <v>601</v>
      </c>
      <c r="G841" s="133"/>
      <c r="H841" s="133" t="s">
        <v>417</v>
      </c>
      <c r="I841" s="134"/>
      <c r="J841" s="146"/>
      <c r="K841" s="135">
        <f>SUM(K843:K848)</f>
        <v>556.255</v>
      </c>
    </row>
    <row r="842" spans="1:11" ht="50.1" customHeight="1">
      <c r="A842" s="128"/>
      <c r="B842" s="129" t="s">
        <v>1691</v>
      </c>
      <c r="C842" s="129" t="s">
        <v>1692</v>
      </c>
      <c r="D842" s="129" t="s">
        <v>1693</v>
      </c>
      <c r="E842" s="130" t="s">
        <v>0</v>
      </c>
      <c r="F842" s="130" t="s">
        <v>1694</v>
      </c>
      <c r="G842" s="129"/>
      <c r="H842" s="129" t="s">
        <v>1695</v>
      </c>
      <c r="I842" s="130" t="s">
        <v>1696</v>
      </c>
      <c r="J842" s="130" t="s">
        <v>1697</v>
      </c>
      <c r="K842" s="131" t="s">
        <v>1698</v>
      </c>
    </row>
    <row r="843" spans="1:11">
      <c r="A843" s="136" t="s">
        <v>1208</v>
      </c>
      <c r="B843" s="137" t="s">
        <v>792</v>
      </c>
      <c r="C843" s="137" t="s">
        <v>698</v>
      </c>
      <c r="D843" s="137">
        <v>370</v>
      </c>
      <c r="E843" s="136" t="s">
        <v>1902</v>
      </c>
      <c r="F843" s="1033" t="s">
        <v>1703</v>
      </c>
      <c r="G843" s="1034"/>
      <c r="H843" s="137" t="s">
        <v>417</v>
      </c>
      <c r="I843" s="136">
        <v>1.1599999999999999</v>
      </c>
      <c r="J843" s="136">
        <v>100</v>
      </c>
      <c r="K843" s="138">
        <f>I843*J843</f>
        <v>115.99999999999999</v>
      </c>
    </row>
    <row r="844" spans="1:11">
      <c r="A844" s="136" t="s">
        <v>1208</v>
      </c>
      <c r="B844" s="137" t="s">
        <v>792</v>
      </c>
      <c r="C844" s="137" t="s">
        <v>698</v>
      </c>
      <c r="D844" s="137">
        <v>1106</v>
      </c>
      <c r="E844" s="136" t="s">
        <v>1903</v>
      </c>
      <c r="F844" s="1033" t="s">
        <v>1703</v>
      </c>
      <c r="G844" s="1034"/>
      <c r="H844" s="137" t="s">
        <v>415</v>
      </c>
      <c r="I844" s="136">
        <v>174.1</v>
      </c>
      <c r="J844" s="136">
        <v>1.1000000000000001</v>
      </c>
      <c r="K844" s="138">
        <f t="shared" ref="K844:K848" si="88">I844*J844</f>
        <v>191.51000000000002</v>
      </c>
    </row>
    <row r="845" spans="1:11">
      <c r="A845" s="136" t="s">
        <v>1208</v>
      </c>
      <c r="B845" s="137" t="s">
        <v>792</v>
      </c>
      <c r="C845" s="137" t="s">
        <v>698</v>
      </c>
      <c r="D845" s="137">
        <v>1379</v>
      </c>
      <c r="E845" s="136" t="s">
        <v>1904</v>
      </c>
      <c r="F845" s="1033" t="s">
        <v>1703</v>
      </c>
      <c r="G845" s="1034"/>
      <c r="H845" s="137" t="s">
        <v>415</v>
      </c>
      <c r="I845" s="136">
        <v>195.86</v>
      </c>
      <c r="J845" s="136">
        <v>0.6</v>
      </c>
      <c r="K845" s="138">
        <f t="shared" si="88"/>
        <v>117.51600000000001</v>
      </c>
    </row>
    <row r="846" spans="1:11">
      <c r="A846" s="136" t="s">
        <v>1208</v>
      </c>
      <c r="B846" s="137" t="s">
        <v>1705</v>
      </c>
      <c r="C846" s="137" t="s">
        <v>698</v>
      </c>
      <c r="D846" s="137">
        <v>88377</v>
      </c>
      <c r="E846" s="136" t="s">
        <v>1898</v>
      </c>
      <c r="F846" s="1033" t="s">
        <v>1706</v>
      </c>
      <c r="G846" s="1034"/>
      <c r="H846" s="137" t="s">
        <v>412</v>
      </c>
      <c r="I846" s="136">
        <v>4.5</v>
      </c>
      <c r="J846" s="136">
        <v>28.41</v>
      </c>
      <c r="K846" s="138">
        <f t="shared" si="88"/>
        <v>127.845</v>
      </c>
    </row>
    <row r="847" spans="1:11" ht="24.75">
      <c r="A847" s="136" t="s">
        <v>1208</v>
      </c>
      <c r="B847" s="137" t="s">
        <v>1705</v>
      </c>
      <c r="C847" s="137" t="s">
        <v>698</v>
      </c>
      <c r="D847" s="137">
        <v>88830</v>
      </c>
      <c r="E847" s="136" t="s">
        <v>1906</v>
      </c>
      <c r="F847" s="1033" t="s">
        <v>1737</v>
      </c>
      <c r="G847" s="1034"/>
      <c r="H847" s="137" t="s">
        <v>407</v>
      </c>
      <c r="I847" s="136">
        <v>1.05</v>
      </c>
      <c r="J847" s="136">
        <v>2.04</v>
      </c>
      <c r="K847" s="138">
        <f t="shared" si="88"/>
        <v>2.1420000000000003</v>
      </c>
    </row>
    <row r="848" spans="1:11" ht="24.75">
      <c r="A848" s="136" t="s">
        <v>1208</v>
      </c>
      <c r="B848" s="137" t="s">
        <v>1705</v>
      </c>
      <c r="C848" s="137" t="s">
        <v>698</v>
      </c>
      <c r="D848" s="137">
        <v>88831</v>
      </c>
      <c r="E848" s="136" t="s">
        <v>1907</v>
      </c>
      <c r="F848" s="1033" t="s">
        <v>1737</v>
      </c>
      <c r="G848" s="1034"/>
      <c r="H848" s="137" t="s">
        <v>408</v>
      </c>
      <c r="I848" s="136">
        <v>3.45</v>
      </c>
      <c r="J848" s="136">
        <v>0.36</v>
      </c>
      <c r="K848" s="138">
        <f t="shared" si="88"/>
        <v>1.242</v>
      </c>
    </row>
    <row r="849" spans="1:11">
      <c r="A849" s="139"/>
      <c r="E849" s="139"/>
      <c r="F849" s="139"/>
      <c r="I849" s="139"/>
      <c r="J849" s="139"/>
      <c r="K849" s="140"/>
    </row>
    <row r="850" spans="1:11">
      <c r="A850" s="139"/>
      <c r="E850" s="139"/>
      <c r="F850" s="139"/>
      <c r="I850" s="139"/>
      <c r="J850" s="139"/>
      <c r="K850" s="140"/>
    </row>
    <row r="851" spans="1:11" ht="31.5">
      <c r="A851" s="132" t="s">
        <v>1908</v>
      </c>
      <c r="B851" s="133" t="s">
        <v>1700</v>
      </c>
      <c r="C851" s="133" t="s">
        <v>698</v>
      </c>
      <c r="D851" s="133">
        <v>87377</v>
      </c>
      <c r="E851" s="134" t="s">
        <v>631</v>
      </c>
      <c r="F851" s="134" t="s">
        <v>601</v>
      </c>
      <c r="G851" s="133"/>
      <c r="H851" s="133" t="s">
        <v>417</v>
      </c>
      <c r="I851" s="134"/>
      <c r="J851" s="146"/>
      <c r="K851" s="135">
        <f>SUM(K853:K855)</f>
        <v>629.69979999999987</v>
      </c>
    </row>
    <row r="852" spans="1:11" ht="50.1" customHeight="1">
      <c r="A852" s="128"/>
      <c r="B852" s="129" t="s">
        <v>1691</v>
      </c>
      <c r="C852" s="129" t="s">
        <v>1692</v>
      </c>
      <c r="D852" s="129" t="s">
        <v>1693</v>
      </c>
      <c r="E852" s="130" t="s">
        <v>0</v>
      </c>
      <c r="F852" s="130" t="s">
        <v>1694</v>
      </c>
      <c r="G852" s="129"/>
      <c r="H852" s="129" t="s">
        <v>1695</v>
      </c>
      <c r="I852" s="130" t="s">
        <v>1696</v>
      </c>
      <c r="J852" s="130" t="s">
        <v>1697</v>
      </c>
      <c r="K852" s="131" t="s">
        <v>1698</v>
      </c>
    </row>
    <row r="853" spans="1:11">
      <c r="A853" s="136" t="s">
        <v>1208</v>
      </c>
      <c r="B853" s="137" t="s">
        <v>792</v>
      </c>
      <c r="C853" s="137" t="s">
        <v>698</v>
      </c>
      <c r="D853" s="137">
        <v>367</v>
      </c>
      <c r="E853" s="136" t="s">
        <v>1909</v>
      </c>
      <c r="F853" s="1033" t="s">
        <v>1703</v>
      </c>
      <c r="G853" s="1034"/>
      <c r="H853" s="137" t="s">
        <v>417</v>
      </c>
      <c r="I853" s="136">
        <v>0.94</v>
      </c>
      <c r="J853" s="136">
        <v>101.3</v>
      </c>
      <c r="K853" s="138">
        <f>I853*J853</f>
        <v>95.221999999999994</v>
      </c>
    </row>
    <row r="854" spans="1:11">
      <c r="A854" s="136" t="s">
        <v>1208</v>
      </c>
      <c r="B854" s="137" t="s">
        <v>792</v>
      </c>
      <c r="C854" s="137" t="s">
        <v>698</v>
      </c>
      <c r="D854" s="137">
        <v>1379</v>
      </c>
      <c r="E854" s="136" t="s">
        <v>1904</v>
      </c>
      <c r="F854" s="1033" t="s">
        <v>1703</v>
      </c>
      <c r="G854" s="1034"/>
      <c r="H854" s="137" t="s">
        <v>415</v>
      </c>
      <c r="I854" s="136">
        <v>422.63</v>
      </c>
      <c r="J854" s="136">
        <v>0.6</v>
      </c>
      <c r="K854" s="138">
        <f t="shared" ref="K854:K855" si="89">I854*J854</f>
        <v>253.57799999999997</v>
      </c>
    </row>
    <row r="855" spans="1:11">
      <c r="A855" s="136" t="s">
        <v>1208</v>
      </c>
      <c r="B855" s="137" t="s">
        <v>1705</v>
      </c>
      <c r="C855" s="137" t="s">
        <v>698</v>
      </c>
      <c r="D855" s="137">
        <v>88316</v>
      </c>
      <c r="E855" s="136" t="s">
        <v>414</v>
      </c>
      <c r="F855" s="1033" t="s">
        <v>1706</v>
      </c>
      <c r="G855" s="1034"/>
      <c r="H855" s="137" t="s">
        <v>412</v>
      </c>
      <c r="I855" s="136">
        <v>11.02</v>
      </c>
      <c r="J855" s="136">
        <v>25.49</v>
      </c>
      <c r="K855" s="138">
        <f t="shared" si="89"/>
        <v>280.89979999999997</v>
      </c>
    </row>
    <row r="856" spans="1:11">
      <c r="A856" s="139"/>
      <c r="E856" s="139"/>
      <c r="F856" s="139"/>
      <c r="I856" s="139"/>
      <c r="J856" s="139"/>
      <c r="K856" s="140"/>
    </row>
    <row r="857" spans="1:11">
      <c r="A857" s="139"/>
      <c r="E857" s="139"/>
      <c r="F857" s="139"/>
      <c r="I857" s="139"/>
      <c r="J857" s="139"/>
      <c r="K857" s="140"/>
    </row>
    <row r="858" spans="1:11" ht="31.5">
      <c r="A858" s="132" t="s">
        <v>1910</v>
      </c>
      <c r="B858" s="133" t="s">
        <v>1700</v>
      </c>
      <c r="C858" s="133" t="s">
        <v>698</v>
      </c>
      <c r="D858" s="133">
        <v>88629</v>
      </c>
      <c r="E858" s="134" t="s">
        <v>1911</v>
      </c>
      <c r="F858" s="134" t="s">
        <v>601</v>
      </c>
      <c r="G858" s="133"/>
      <c r="H858" s="133" t="s">
        <v>417</v>
      </c>
      <c r="I858" s="134"/>
      <c r="J858" s="146"/>
      <c r="K858" s="135">
        <f>SUM(K860:K862)</f>
        <v>615.22529999999995</v>
      </c>
    </row>
    <row r="859" spans="1:11" ht="50.1" customHeight="1">
      <c r="A859" s="128"/>
      <c r="B859" s="129" t="s">
        <v>1691</v>
      </c>
      <c r="C859" s="129" t="s">
        <v>1692</v>
      </c>
      <c r="D859" s="129" t="s">
        <v>1693</v>
      </c>
      <c r="E859" s="130" t="s">
        <v>0</v>
      </c>
      <c r="F859" s="130" t="s">
        <v>1694</v>
      </c>
      <c r="G859" s="129"/>
      <c r="H859" s="129" t="s">
        <v>1695</v>
      </c>
      <c r="I859" s="130" t="s">
        <v>1696</v>
      </c>
      <c r="J859" s="130" t="s">
        <v>1697</v>
      </c>
      <c r="K859" s="131" t="s">
        <v>1698</v>
      </c>
    </row>
    <row r="860" spans="1:11">
      <c r="A860" s="136" t="s">
        <v>1208</v>
      </c>
      <c r="B860" s="137" t="s">
        <v>792</v>
      </c>
      <c r="C860" s="137" t="s">
        <v>698</v>
      </c>
      <c r="D860" s="137">
        <v>370</v>
      </c>
      <c r="E860" s="136" t="s">
        <v>1902</v>
      </c>
      <c r="F860" s="1033" t="s">
        <v>1703</v>
      </c>
      <c r="G860" s="1034"/>
      <c r="H860" s="137" t="s">
        <v>417</v>
      </c>
      <c r="I860" s="136">
        <v>1.07</v>
      </c>
      <c r="J860" s="136">
        <v>100</v>
      </c>
      <c r="K860" s="138">
        <f>J860*I860</f>
        <v>107</v>
      </c>
    </row>
    <row r="861" spans="1:11">
      <c r="A861" s="136" t="s">
        <v>1208</v>
      </c>
      <c r="B861" s="137" t="s">
        <v>792</v>
      </c>
      <c r="C861" s="137" t="s">
        <v>698</v>
      </c>
      <c r="D861" s="137">
        <v>1379</v>
      </c>
      <c r="E861" s="136" t="s">
        <v>1904</v>
      </c>
      <c r="F861" s="1033" t="s">
        <v>1703</v>
      </c>
      <c r="G861" s="1034"/>
      <c r="H861" s="137" t="s">
        <v>415</v>
      </c>
      <c r="I861" s="136">
        <v>482.96</v>
      </c>
      <c r="J861" s="136">
        <v>0.6</v>
      </c>
      <c r="K861" s="138">
        <f t="shared" ref="K861:K862" si="90">J861*I861</f>
        <v>289.77599999999995</v>
      </c>
    </row>
    <row r="862" spans="1:11">
      <c r="A862" s="136" t="s">
        <v>1208</v>
      </c>
      <c r="B862" s="137" t="s">
        <v>1705</v>
      </c>
      <c r="C862" s="137" t="s">
        <v>698</v>
      </c>
      <c r="D862" s="137">
        <v>88316</v>
      </c>
      <c r="E862" s="136" t="s">
        <v>414</v>
      </c>
      <c r="F862" s="1033" t="s">
        <v>1706</v>
      </c>
      <c r="G862" s="1034"/>
      <c r="H862" s="137" t="s">
        <v>412</v>
      </c>
      <c r="I862" s="136">
        <v>8.57</v>
      </c>
      <c r="J862" s="136">
        <v>25.49</v>
      </c>
      <c r="K862" s="138">
        <f t="shared" si="90"/>
        <v>218.44929999999999</v>
      </c>
    </row>
    <row r="863" spans="1:11">
      <c r="A863" s="139"/>
      <c r="E863" s="139"/>
      <c r="F863" s="139"/>
      <c r="I863" s="139"/>
      <c r="J863" s="139"/>
      <c r="K863" s="140"/>
    </row>
    <row r="864" spans="1:11">
      <c r="A864" s="139"/>
      <c r="E864" s="139"/>
      <c r="F864" s="139"/>
      <c r="I864" s="139"/>
      <c r="J864" s="139"/>
      <c r="K864" s="140"/>
    </row>
    <row r="865" spans="1:11" ht="15.75">
      <c r="A865" s="132" t="s">
        <v>1912</v>
      </c>
      <c r="B865" s="133" t="s">
        <v>1700</v>
      </c>
      <c r="C865" s="133" t="s">
        <v>698</v>
      </c>
      <c r="D865" s="133">
        <v>88247</v>
      </c>
      <c r="E865" s="134" t="s">
        <v>474</v>
      </c>
      <c r="F865" s="134" t="s">
        <v>601</v>
      </c>
      <c r="G865" s="133"/>
      <c r="H865" s="133" t="s">
        <v>412</v>
      </c>
      <c r="I865" s="134"/>
      <c r="J865" s="146"/>
      <c r="K865" s="135">
        <f>SUM(K867:K874)</f>
        <v>26.959999999999997</v>
      </c>
    </row>
    <row r="866" spans="1:11" ht="50.1" customHeight="1">
      <c r="A866" s="128"/>
      <c r="B866" s="129" t="s">
        <v>1691</v>
      </c>
      <c r="C866" s="129" t="s">
        <v>1692</v>
      </c>
      <c r="D866" s="129" t="s">
        <v>1693</v>
      </c>
      <c r="E866" s="130" t="s">
        <v>0</v>
      </c>
      <c r="F866" s="130" t="s">
        <v>1694</v>
      </c>
      <c r="G866" s="129"/>
      <c r="H866" s="129" t="s">
        <v>1695</v>
      </c>
      <c r="I866" s="130" t="s">
        <v>1696</v>
      </c>
      <c r="J866" s="130" t="s">
        <v>1697</v>
      </c>
      <c r="K866" s="131" t="s">
        <v>1698</v>
      </c>
    </row>
    <row r="867" spans="1:11">
      <c r="A867" s="136" t="s">
        <v>1208</v>
      </c>
      <c r="B867" s="137" t="s">
        <v>792</v>
      </c>
      <c r="C867" s="137" t="s">
        <v>698</v>
      </c>
      <c r="D867" s="137">
        <v>247</v>
      </c>
      <c r="E867" s="136" t="s">
        <v>1913</v>
      </c>
      <c r="F867" s="1033" t="s">
        <v>1702</v>
      </c>
      <c r="G867" s="1034"/>
      <c r="H867" s="137" t="s">
        <v>412</v>
      </c>
      <c r="I867" s="136">
        <v>1</v>
      </c>
      <c r="J867" s="136">
        <v>18.77</v>
      </c>
      <c r="K867" s="138">
        <f>I867*J867</f>
        <v>18.77</v>
      </c>
    </row>
    <row r="868" spans="1:11">
      <c r="A868" s="136" t="s">
        <v>1208</v>
      </c>
      <c r="B868" s="137" t="s">
        <v>792</v>
      </c>
      <c r="C868" s="137" t="s">
        <v>698</v>
      </c>
      <c r="D868" s="137">
        <v>37370</v>
      </c>
      <c r="E868" s="136" t="s">
        <v>653</v>
      </c>
      <c r="F868" s="1033" t="s">
        <v>1703</v>
      </c>
      <c r="G868" s="1034"/>
      <c r="H868" s="137" t="s">
        <v>412</v>
      </c>
      <c r="I868" s="136">
        <v>1</v>
      </c>
      <c r="J868" s="136">
        <v>3.91</v>
      </c>
      <c r="K868" s="138">
        <f t="shared" ref="K868:K874" si="91">I868*J868</f>
        <v>3.91</v>
      </c>
    </row>
    <row r="869" spans="1:11">
      <c r="A869" s="136" t="s">
        <v>1208</v>
      </c>
      <c r="B869" s="137" t="s">
        <v>792</v>
      </c>
      <c r="C869" s="137" t="s">
        <v>698</v>
      </c>
      <c r="D869" s="137">
        <v>37371</v>
      </c>
      <c r="E869" s="136" t="s">
        <v>654</v>
      </c>
      <c r="F869" s="1033" t="s">
        <v>1889</v>
      </c>
      <c r="G869" s="1034"/>
      <c r="H869" s="137" t="s">
        <v>412</v>
      </c>
      <c r="I869" s="136">
        <v>1</v>
      </c>
      <c r="J869" s="136">
        <v>1</v>
      </c>
      <c r="K869" s="138">
        <f t="shared" si="91"/>
        <v>1</v>
      </c>
    </row>
    <row r="870" spans="1:11">
      <c r="A870" s="136" t="s">
        <v>1208</v>
      </c>
      <c r="B870" s="137" t="s">
        <v>792</v>
      </c>
      <c r="C870" s="137" t="s">
        <v>698</v>
      </c>
      <c r="D870" s="137">
        <v>37372</v>
      </c>
      <c r="E870" s="136" t="s">
        <v>655</v>
      </c>
      <c r="F870" s="1033" t="s">
        <v>1703</v>
      </c>
      <c r="G870" s="1034"/>
      <c r="H870" s="137" t="s">
        <v>412</v>
      </c>
      <c r="I870" s="136">
        <v>1</v>
      </c>
      <c r="J870" s="136">
        <v>0.81</v>
      </c>
      <c r="K870" s="138">
        <f t="shared" si="91"/>
        <v>0.81</v>
      </c>
    </row>
    <row r="871" spans="1:11">
      <c r="A871" s="136" t="s">
        <v>1208</v>
      </c>
      <c r="B871" s="137" t="s">
        <v>792</v>
      </c>
      <c r="C871" s="137" t="s">
        <v>698</v>
      </c>
      <c r="D871" s="137">
        <v>37373</v>
      </c>
      <c r="E871" s="136" t="s">
        <v>656</v>
      </c>
      <c r="F871" s="1033" t="s">
        <v>1890</v>
      </c>
      <c r="G871" s="1034"/>
      <c r="H871" s="137" t="s">
        <v>412</v>
      </c>
      <c r="I871" s="136">
        <v>1</v>
      </c>
      <c r="J871" s="136">
        <v>0.06</v>
      </c>
      <c r="K871" s="138">
        <f t="shared" si="91"/>
        <v>0.06</v>
      </c>
    </row>
    <row r="872" spans="1:11">
      <c r="A872" s="136" t="s">
        <v>1208</v>
      </c>
      <c r="B872" s="137" t="s">
        <v>792</v>
      </c>
      <c r="C872" s="137" t="s">
        <v>698</v>
      </c>
      <c r="D872" s="137">
        <v>43460</v>
      </c>
      <c r="E872" s="136" t="s">
        <v>658</v>
      </c>
      <c r="F872" s="1033" t="s">
        <v>1704</v>
      </c>
      <c r="G872" s="1034"/>
      <c r="H872" s="137" t="s">
        <v>412</v>
      </c>
      <c r="I872" s="136">
        <v>1</v>
      </c>
      <c r="J872" s="136">
        <v>0.78</v>
      </c>
      <c r="K872" s="138">
        <f t="shared" si="91"/>
        <v>0.78</v>
      </c>
    </row>
    <row r="873" spans="1:11">
      <c r="A873" s="136" t="s">
        <v>1208</v>
      </c>
      <c r="B873" s="137" t="s">
        <v>792</v>
      </c>
      <c r="C873" s="137" t="s">
        <v>698</v>
      </c>
      <c r="D873" s="137">
        <v>43484</v>
      </c>
      <c r="E873" s="136" t="s">
        <v>1914</v>
      </c>
      <c r="F873" s="1033" t="s">
        <v>1704</v>
      </c>
      <c r="G873" s="1034"/>
      <c r="H873" s="137" t="s">
        <v>412</v>
      </c>
      <c r="I873" s="136">
        <v>1</v>
      </c>
      <c r="J873" s="136">
        <v>1.07</v>
      </c>
      <c r="K873" s="138">
        <f t="shared" si="91"/>
        <v>1.07</v>
      </c>
    </row>
    <row r="874" spans="1:11">
      <c r="A874" s="136" t="s">
        <v>1208</v>
      </c>
      <c r="B874" s="137" t="s">
        <v>1705</v>
      </c>
      <c r="C874" s="137" t="s">
        <v>698</v>
      </c>
      <c r="D874" s="137">
        <v>95316</v>
      </c>
      <c r="E874" s="136" t="s">
        <v>659</v>
      </c>
      <c r="F874" s="1033" t="s">
        <v>1706</v>
      </c>
      <c r="G874" s="1034"/>
      <c r="H874" s="137" t="s">
        <v>412</v>
      </c>
      <c r="I874" s="136">
        <v>1</v>
      </c>
      <c r="J874" s="136">
        <v>0.56000000000000005</v>
      </c>
      <c r="K874" s="138">
        <f t="shared" si="91"/>
        <v>0.56000000000000005</v>
      </c>
    </row>
    <row r="875" spans="1:11">
      <c r="A875" s="139"/>
      <c r="E875" s="139"/>
      <c r="F875" s="139"/>
      <c r="I875" s="139"/>
      <c r="J875" s="139"/>
      <c r="K875" s="140"/>
    </row>
    <row r="876" spans="1:11">
      <c r="A876" s="139"/>
      <c r="E876" s="139"/>
      <c r="F876" s="139"/>
      <c r="I876" s="139"/>
      <c r="J876" s="139"/>
      <c r="K876" s="140"/>
    </row>
    <row r="877" spans="1:11" ht="31.5">
      <c r="A877" s="132" t="s">
        <v>1915</v>
      </c>
      <c r="B877" s="133" t="s">
        <v>1700</v>
      </c>
      <c r="C877" s="133" t="s">
        <v>698</v>
      </c>
      <c r="D877" s="133">
        <v>88248</v>
      </c>
      <c r="E877" s="134" t="s">
        <v>505</v>
      </c>
      <c r="F877" s="134" t="s">
        <v>601</v>
      </c>
      <c r="G877" s="133"/>
      <c r="H877" s="133" t="s">
        <v>412</v>
      </c>
      <c r="I877" s="134"/>
      <c r="J877" s="134"/>
      <c r="K877" s="135">
        <f>SUM(K879:K886)</f>
        <v>26.139999999999997</v>
      </c>
    </row>
    <row r="878" spans="1:11" ht="50.1" customHeight="1">
      <c r="A878" s="128"/>
      <c r="B878" s="129" t="s">
        <v>1691</v>
      </c>
      <c r="C878" s="129" t="s">
        <v>1692</v>
      </c>
      <c r="D878" s="129" t="s">
        <v>1693</v>
      </c>
      <c r="E878" s="130" t="s">
        <v>0</v>
      </c>
      <c r="F878" s="130" t="s">
        <v>1694</v>
      </c>
      <c r="G878" s="129"/>
      <c r="H878" s="129" t="s">
        <v>1695</v>
      </c>
      <c r="I878" s="130" t="s">
        <v>1696</v>
      </c>
      <c r="J878" s="130" t="s">
        <v>1697</v>
      </c>
      <c r="K878" s="131" t="s">
        <v>1698</v>
      </c>
    </row>
    <row r="879" spans="1:11">
      <c r="A879" s="136" t="s">
        <v>1208</v>
      </c>
      <c r="B879" s="137" t="s">
        <v>792</v>
      </c>
      <c r="C879" s="137" t="s">
        <v>698</v>
      </c>
      <c r="D879" s="137">
        <v>246</v>
      </c>
      <c r="E879" s="136" t="s">
        <v>1916</v>
      </c>
      <c r="F879" s="1033" t="s">
        <v>1702</v>
      </c>
      <c r="G879" s="1034"/>
      <c r="H879" s="137" t="s">
        <v>412</v>
      </c>
      <c r="I879" s="136">
        <v>1</v>
      </c>
      <c r="J879" s="136">
        <v>18.829999999999998</v>
      </c>
      <c r="K879" s="138">
        <f>I879*J879</f>
        <v>18.829999999999998</v>
      </c>
    </row>
    <row r="880" spans="1:11">
      <c r="A880" s="136" t="s">
        <v>1208</v>
      </c>
      <c r="B880" s="137" t="s">
        <v>792</v>
      </c>
      <c r="C880" s="137" t="s">
        <v>698</v>
      </c>
      <c r="D880" s="137">
        <v>37370</v>
      </c>
      <c r="E880" s="136" t="s">
        <v>653</v>
      </c>
      <c r="F880" s="1033" t="s">
        <v>1703</v>
      </c>
      <c r="G880" s="1034"/>
      <c r="H880" s="137" t="s">
        <v>412</v>
      </c>
      <c r="I880" s="136">
        <v>1</v>
      </c>
      <c r="J880" s="136">
        <v>3.91</v>
      </c>
      <c r="K880" s="138">
        <f t="shared" ref="K880:K886" si="92">I880*J880</f>
        <v>3.91</v>
      </c>
    </row>
    <row r="881" spans="1:11">
      <c r="A881" s="136" t="s">
        <v>1208</v>
      </c>
      <c r="B881" s="137" t="s">
        <v>792</v>
      </c>
      <c r="C881" s="137" t="s">
        <v>698</v>
      </c>
      <c r="D881" s="137">
        <v>37371</v>
      </c>
      <c r="E881" s="136" t="s">
        <v>654</v>
      </c>
      <c r="F881" s="1033" t="s">
        <v>1889</v>
      </c>
      <c r="G881" s="1034"/>
      <c r="H881" s="137" t="s">
        <v>412</v>
      </c>
      <c r="I881" s="136">
        <v>1</v>
      </c>
      <c r="J881" s="136">
        <v>1</v>
      </c>
      <c r="K881" s="138">
        <f t="shared" si="92"/>
        <v>1</v>
      </c>
    </row>
    <row r="882" spans="1:11">
      <c r="A882" s="136" t="s">
        <v>1208</v>
      </c>
      <c r="B882" s="137" t="s">
        <v>792</v>
      </c>
      <c r="C882" s="137" t="s">
        <v>698</v>
      </c>
      <c r="D882" s="137">
        <v>37372</v>
      </c>
      <c r="E882" s="136" t="s">
        <v>655</v>
      </c>
      <c r="F882" s="1033" t="s">
        <v>1703</v>
      </c>
      <c r="G882" s="1034"/>
      <c r="H882" s="137" t="s">
        <v>412</v>
      </c>
      <c r="I882" s="136">
        <v>1</v>
      </c>
      <c r="J882" s="136">
        <v>0.81</v>
      </c>
      <c r="K882" s="138">
        <f t="shared" si="92"/>
        <v>0.81</v>
      </c>
    </row>
    <row r="883" spans="1:11">
      <c r="A883" s="136" t="s">
        <v>1208</v>
      </c>
      <c r="B883" s="137" t="s">
        <v>792</v>
      </c>
      <c r="C883" s="137" t="s">
        <v>698</v>
      </c>
      <c r="D883" s="137">
        <v>37373</v>
      </c>
      <c r="E883" s="136" t="s">
        <v>656</v>
      </c>
      <c r="F883" s="1033" t="s">
        <v>1890</v>
      </c>
      <c r="G883" s="1034"/>
      <c r="H883" s="137" t="s">
        <v>412</v>
      </c>
      <c r="I883" s="136">
        <v>1</v>
      </c>
      <c r="J883" s="136">
        <v>0.06</v>
      </c>
      <c r="K883" s="138">
        <f t="shared" si="92"/>
        <v>0.06</v>
      </c>
    </row>
    <row r="884" spans="1:11">
      <c r="A884" s="136" t="s">
        <v>1208</v>
      </c>
      <c r="B884" s="137" t="s">
        <v>792</v>
      </c>
      <c r="C884" s="137" t="s">
        <v>698</v>
      </c>
      <c r="D884" s="137">
        <v>43461</v>
      </c>
      <c r="E884" s="136" t="s">
        <v>660</v>
      </c>
      <c r="F884" s="1033" t="s">
        <v>1704</v>
      </c>
      <c r="G884" s="1034"/>
      <c r="H884" s="137" t="s">
        <v>412</v>
      </c>
      <c r="I884" s="136">
        <v>1</v>
      </c>
      <c r="J884" s="136">
        <v>0.32</v>
      </c>
      <c r="K884" s="138">
        <f t="shared" si="92"/>
        <v>0.32</v>
      </c>
    </row>
    <row r="885" spans="1:11">
      <c r="A885" s="136" t="s">
        <v>1208</v>
      </c>
      <c r="B885" s="137" t="s">
        <v>792</v>
      </c>
      <c r="C885" s="137" t="s">
        <v>698</v>
      </c>
      <c r="D885" s="137">
        <v>43485</v>
      </c>
      <c r="E885" s="136" t="s">
        <v>1917</v>
      </c>
      <c r="F885" s="1033" t="s">
        <v>1704</v>
      </c>
      <c r="G885" s="1034"/>
      <c r="H885" s="137" t="s">
        <v>412</v>
      </c>
      <c r="I885" s="136">
        <v>1</v>
      </c>
      <c r="J885" s="136">
        <v>0.94</v>
      </c>
      <c r="K885" s="138">
        <f t="shared" si="92"/>
        <v>0.94</v>
      </c>
    </row>
    <row r="886" spans="1:11" ht="24.75">
      <c r="A886" s="136" t="s">
        <v>1208</v>
      </c>
      <c r="B886" s="137" t="s">
        <v>1705</v>
      </c>
      <c r="C886" s="137" t="s">
        <v>698</v>
      </c>
      <c r="D886" s="137">
        <v>95317</v>
      </c>
      <c r="E886" s="136" t="s">
        <v>661</v>
      </c>
      <c r="F886" s="1033" t="s">
        <v>1706</v>
      </c>
      <c r="G886" s="1034"/>
      <c r="H886" s="137" t="s">
        <v>412</v>
      </c>
      <c r="I886" s="136">
        <v>1</v>
      </c>
      <c r="J886" s="136">
        <v>0.27</v>
      </c>
      <c r="K886" s="138">
        <f t="shared" si="92"/>
        <v>0.27</v>
      </c>
    </row>
    <row r="887" spans="1:11">
      <c r="A887" s="139"/>
      <c r="E887" s="139"/>
      <c r="F887" s="139"/>
      <c r="I887" s="139"/>
      <c r="J887" s="139"/>
      <c r="K887" s="140"/>
    </row>
    <row r="888" spans="1:11">
      <c r="A888" s="139"/>
      <c r="E888" s="139"/>
      <c r="F888" s="139"/>
      <c r="I888" s="139"/>
      <c r="J888" s="139"/>
      <c r="K888" s="140"/>
    </row>
    <row r="889" spans="1:11" ht="15.75">
      <c r="A889" s="132" t="s">
        <v>1918</v>
      </c>
      <c r="B889" s="133" t="s">
        <v>1700</v>
      </c>
      <c r="C889" s="133" t="s">
        <v>698</v>
      </c>
      <c r="D889" s="133">
        <v>88256</v>
      </c>
      <c r="E889" s="134" t="s">
        <v>625</v>
      </c>
      <c r="F889" s="134" t="s">
        <v>601</v>
      </c>
      <c r="G889" s="133"/>
      <c r="H889" s="133" t="s">
        <v>412</v>
      </c>
      <c r="I889" s="134"/>
      <c r="J889" s="146"/>
      <c r="K889" s="135">
        <f>SUM(K891:K898)</f>
        <v>34.530000000000008</v>
      </c>
    </row>
    <row r="890" spans="1:11" ht="50.1" customHeight="1">
      <c r="A890" s="128"/>
      <c r="B890" s="129" t="s">
        <v>1691</v>
      </c>
      <c r="C890" s="129" t="s">
        <v>1692</v>
      </c>
      <c r="D890" s="129" t="s">
        <v>1693</v>
      </c>
      <c r="E890" s="130" t="s">
        <v>0</v>
      </c>
      <c r="F890" s="130" t="s">
        <v>1694</v>
      </c>
      <c r="G890" s="129"/>
      <c r="H890" s="129" t="s">
        <v>1695</v>
      </c>
      <c r="I890" s="130" t="s">
        <v>1696</v>
      </c>
      <c r="J890" s="130" t="s">
        <v>1697</v>
      </c>
      <c r="K890" s="131" t="s">
        <v>1698</v>
      </c>
    </row>
    <row r="891" spans="1:11">
      <c r="A891" s="136" t="s">
        <v>1208</v>
      </c>
      <c r="B891" s="137" t="s">
        <v>792</v>
      </c>
      <c r="C891" s="137" t="s">
        <v>698</v>
      </c>
      <c r="D891" s="137">
        <v>4760</v>
      </c>
      <c r="E891" s="136" t="s">
        <v>1919</v>
      </c>
      <c r="F891" s="1033" t="s">
        <v>1702</v>
      </c>
      <c r="G891" s="1034"/>
      <c r="H891" s="137" t="s">
        <v>412</v>
      </c>
      <c r="I891" s="136">
        <v>1</v>
      </c>
      <c r="J891" s="136">
        <v>26.61</v>
      </c>
      <c r="K891" s="138">
        <f>I891*J891</f>
        <v>26.61</v>
      </c>
    </row>
    <row r="892" spans="1:11">
      <c r="A892" s="136" t="s">
        <v>1208</v>
      </c>
      <c r="B892" s="137" t="s">
        <v>792</v>
      </c>
      <c r="C892" s="137" t="s">
        <v>698</v>
      </c>
      <c r="D892" s="137">
        <v>37370</v>
      </c>
      <c r="E892" s="136" t="s">
        <v>653</v>
      </c>
      <c r="F892" s="1033" t="s">
        <v>1703</v>
      </c>
      <c r="G892" s="1034"/>
      <c r="H892" s="137" t="s">
        <v>412</v>
      </c>
      <c r="I892" s="136">
        <v>1</v>
      </c>
      <c r="J892" s="136">
        <v>3.91</v>
      </c>
      <c r="K892" s="138">
        <f t="shared" ref="K892:K898" si="93">I892*J892</f>
        <v>3.91</v>
      </c>
    </row>
    <row r="893" spans="1:11">
      <c r="A893" s="136" t="s">
        <v>1208</v>
      </c>
      <c r="B893" s="137" t="s">
        <v>792</v>
      </c>
      <c r="C893" s="137" t="s">
        <v>698</v>
      </c>
      <c r="D893" s="137">
        <v>37371</v>
      </c>
      <c r="E893" s="136" t="s">
        <v>654</v>
      </c>
      <c r="F893" s="1033" t="s">
        <v>1889</v>
      </c>
      <c r="G893" s="1034"/>
      <c r="H893" s="137" t="s">
        <v>412</v>
      </c>
      <c r="I893" s="136">
        <v>1</v>
      </c>
      <c r="J893" s="136">
        <v>1</v>
      </c>
      <c r="K893" s="138">
        <f t="shared" si="93"/>
        <v>1</v>
      </c>
    </row>
    <row r="894" spans="1:11">
      <c r="A894" s="136" t="s">
        <v>1208</v>
      </c>
      <c r="B894" s="137" t="s">
        <v>792</v>
      </c>
      <c r="C894" s="137" t="s">
        <v>698</v>
      </c>
      <c r="D894" s="137">
        <v>37372</v>
      </c>
      <c r="E894" s="136" t="s">
        <v>655</v>
      </c>
      <c r="F894" s="1033" t="s">
        <v>1703</v>
      </c>
      <c r="G894" s="1034"/>
      <c r="H894" s="137" t="s">
        <v>412</v>
      </c>
      <c r="I894" s="136">
        <v>1</v>
      </c>
      <c r="J894" s="136">
        <v>0.81</v>
      </c>
      <c r="K894" s="138">
        <f t="shared" si="93"/>
        <v>0.81</v>
      </c>
    </row>
    <row r="895" spans="1:11">
      <c r="A895" s="136" t="s">
        <v>1208</v>
      </c>
      <c r="B895" s="137" t="s">
        <v>792</v>
      </c>
      <c r="C895" s="137" t="s">
        <v>698</v>
      </c>
      <c r="D895" s="137">
        <v>37373</v>
      </c>
      <c r="E895" s="136" t="s">
        <v>656</v>
      </c>
      <c r="F895" s="1033" t="s">
        <v>1890</v>
      </c>
      <c r="G895" s="1034"/>
      <c r="H895" s="137" t="s">
        <v>412</v>
      </c>
      <c r="I895" s="136">
        <v>1</v>
      </c>
      <c r="J895" s="136">
        <v>0.06</v>
      </c>
      <c r="K895" s="138">
        <f t="shared" si="93"/>
        <v>0.06</v>
      </c>
    </row>
    <row r="896" spans="1:11">
      <c r="A896" s="136" t="s">
        <v>1208</v>
      </c>
      <c r="B896" s="137" t="s">
        <v>792</v>
      </c>
      <c r="C896" s="137" t="s">
        <v>698</v>
      </c>
      <c r="D896" s="137">
        <v>43465</v>
      </c>
      <c r="E896" s="136" t="s">
        <v>1920</v>
      </c>
      <c r="F896" s="1033" t="s">
        <v>1704</v>
      </c>
      <c r="G896" s="1034"/>
      <c r="H896" s="137" t="s">
        <v>412</v>
      </c>
      <c r="I896" s="136">
        <v>1</v>
      </c>
      <c r="J896" s="136">
        <v>0.74</v>
      </c>
      <c r="K896" s="138">
        <f t="shared" si="93"/>
        <v>0.74</v>
      </c>
    </row>
    <row r="897" spans="1:11">
      <c r="A897" s="136" t="s">
        <v>1208</v>
      </c>
      <c r="B897" s="137" t="s">
        <v>792</v>
      </c>
      <c r="C897" s="137" t="s">
        <v>698</v>
      </c>
      <c r="D897" s="137">
        <v>43489</v>
      </c>
      <c r="E897" s="136" t="s">
        <v>1921</v>
      </c>
      <c r="F897" s="1033" t="s">
        <v>1704</v>
      </c>
      <c r="G897" s="1034"/>
      <c r="H897" s="137" t="s">
        <v>412</v>
      </c>
      <c r="I897" s="136">
        <v>1</v>
      </c>
      <c r="J897" s="136">
        <v>1.0900000000000001</v>
      </c>
      <c r="K897" s="138">
        <f t="shared" si="93"/>
        <v>1.0900000000000001</v>
      </c>
    </row>
    <row r="898" spans="1:11">
      <c r="A898" s="136" t="s">
        <v>1208</v>
      </c>
      <c r="B898" s="137" t="s">
        <v>1705</v>
      </c>
      <c r="C898" s="137" t="s">
        <v>698</v>
      </c>
      <c r="D898" s="137">
        <v>95324</v>
      </c>
      <c r="E898" s="136" t="s">
        <v>1922</v>
      </c>
      <c r="F898" s="1033" t="s">
        <v>1706</v>
      </c>
      <c r="G898" s="1034"/>
      <c r="H898" s="137" t="s">
        <v>412</v>
      </c>
      <c r="I898" s="136">
        <v>1</v>
      </c>
      <c r="J898" s="136">
        <v>0.31</v>
      </c>
      <c r="K898" s="138">
        <f t="shared" si="93"/>
        <v>0.31</v>
      </c>
    </row>
    <row r="899" spans="1:11">
      <c r="A899" s="139"/>
      <c r="E899" s="139"/>
      <c r="F899" s="139"/>
      <c r="I899" s="139"/>
      <c r="J899" s="139"/>
      <c r="K899" s="140"/>
    </row>
    <row r="900" spans="1:11">
      <c r="A900" s="139"/>
      <c r="E900" s="139"/>
      <c r="F900" s="139"/>
      <c r="I900" s="139"/>
      <c r="J900" s="139"/>
      <c r="K900" s="140"/>
    </row>
    <row r="901" spans="1:11" ht="31.5">
      <c r="A901" s="132" t="s">
        <v>1923</v>
      </c>
      <c r="B901" s="133" t="s">
        <v>1700</v>
      </c>
      <c r="C901" s="133" t="s">
        <v>698</v>
      </c>
      <c r="D901" s="133">
        <v>91292</v>
      </c>
      <c r="E901" s="134" t="s">
        <v>454</v>
      </c>
      <c r="F901" s="134" t="s">
        <v>450</v>
      </c>
      <c r="G901" s="133"/>
      <c r="H901" s="133" t="s">
        <v>411</v>
      </c>
      <c r="I901" s="134"/>
      <c r="J901" s="146"/>
      <c r="K901" s="135">
        <f>SUM(K903:K909)</f>
        <v>397.37110799999999</v>
      </c>
    </row>
    <row r="902" spans="1:11" ht="50.1" customHeight="1">
      <c r="A902" s="128"/>
      <c r="B902" s="129" t="s">
        <v>1691</v>
      </c>
      <c r="C902" s="129" t="s">
        <v>1692</v>
      </c>
      <c r="D902" s="129" t="s">
        <v>1693</v>
      </c>
      <c r="E902" s="130" t="s">
        <v>0</v>
      </c>
      <c r="F902" s="130" t="s">
        <v>1694</v>
      </c>
      <c r="G902" s="129"/>
      <c r="H902" s="129" t="s">
        <v>1695</v>
      </c>
      <c r="I902" s="130" t="s">
        <v>1696</v>
      </c>
      <c r="J902" s="130" t="s">
        <v>1697</v>
      </c>
      <c r="K902" s="131" t="s">
        <v>1698</v>
      </c>
    </row>
    <row r="903" spans="1:11">
      <c r="A903" s="136" t="s">
        <v>1208</v>
      </c>
      <c r="B903" s="137" t="s">
        <v>792</v>
      </c>
      <c r="C903" s="137" t="s">
        <v>698</v>
      </c>
      <c r="D903" s="137">
        <v>5061</v>
      </c>
      <c r="E903" s="136" t="s">
        <v>1924</v>
      </c>
      <c r="F903" s="1033" t="s">
        <v>1703</v>
      </c>
      <c r="G903" s="1034"/>
      <c r="H903" s="137" t="s">
        <v>415</v>
      </c>
      <c r="I903" s="136">
        <v>0.2</v>
      </c>
      <c r="J903" s="136">
        <v>26.63</v>
      </c>
      <c r="K903" s="138">
        <f>I903*J903</f>
        <v>5.3260000000000005</v>
      </c>
    </row>
    <row r="904" spans="1:11">
      <c r="A904" s="136" t="s">
        <v>1208</v>
      </c>
      <c r="B904" s="137" t="s">
        <v>792</v>
      </c>
      <c r="C904" s="137" t="s">
        <v>698</v>
      </c>
      <c r="D904" s="137">
        <v>7319</v>
      </c>
      <c r="E904" s="136" t="s">
        <v>1925</v>
      </c>
      <c r="F904" s="1033" t="s">
        <v>1703</v>
      </c>
      <c r="G904" s="1034"/>
      <c r="H904" s="137" t="s">
        <v>438</v>
      </c>
      <c r="I904" s="136">
        <v>0.1671</v>
      </c>
      <c r="J904" s="136">
        <v>11.85</v>
      </c>
      <c r="K904" s="138">
        <f t="shared" ref="K904:K909" si="94">I904*J904</f>
        <v>1.980135</v>
      </c>
    </row>
    <row r="905" spans="1:11">
      <c r="A905" s="136" t="s">
        <v>1208</v>
      </c>
      <c r="B905" s="137" t="s">
        <v>1705</v>
      </c>
      <c r="C905" s="137" t="s">
        <v>698</v>
      </c>
      <c r="D905" s="137">
        <v>88261</v>
      </c>
      <c r="E905" s="136" t="s">
        <v>451</v>
      </c>
      <c r="F905" s="1033" t="s">
        <v>1706</v>
      </c>
      <c r="G905" s="1034"/>
      <c r="H905" s="137" t="s">
        <v>412</v>
      </c>
      <c r="I905" s="136">
        <v>0.55200000000000005</v>
      </c>
      <c r="J905" s="136">
        <v>34.28</v>
      </c>
      <c r="K905" s="138">
        <f t="shared" si="94"/>
        <v>18.922560000000001</v>
      </c>
    </row>
    <row r="906" spans="1:11">
      <c r="A906" s="136" t="s">
        <v>1208</v>
      </c>
      <c r="B906" s="137" t="s">
        <v>1705</v>
      </c>
      <c r="C906" s="137" t="s">
        <v>698</v>
      </c>
      <c r="D906" s="137">
        <v>88309</v>
      </c>
      <c r="E906" s="136" t="s">
        <v>445</v>
      </c>
      <c r="F906" s="1033" t="s">
        <v>1706</v>
      </c>
      <c r="G906" s="1034"/>
      <c r="H906" s="137" t="s">
        <v>412</v>
      </c>
      <c r="I906" s="136">
        <v>1.3620000000000001</v>
      </c>
      <c r="J906" s="136">
        <v>32.65</v>
      </c>
      <c r="K906" s="138">
        <f t="shared" si="94"/>
        <v>44.469300000000004</v>
      </c>
    </row>
    <row r="907" spans="1:11">
      <c r="A907" s="136" t="s">
        <v>1208</v>
      </c>
      <c r="B907" s="137" t="s">
        <v>1705</v>
      </c>
      <c r="C907" s="137" t="s">
        <v>698</v>
      </c>
      <c r="D907" s="137">
        <v>88316</v>
      </c>
      <c r="E907" s="136" t="s">
        <v>414</v>
      </c>
      <c r="F907" s="1033" t="s">
        <v>1706</v>
      </c>
      <c r="G907" s="1034"/>
      <c r="H907" s="137" t="s">
        <v>412</v>
      </c>
      <c r="I907" s="136">
        <v>0.95699999999999996</v>
      </c>
      <c r="J907" s="136">
        <v>25.49</v>
      </c>
      <c r="K907" s="138">
        <f t="shared" si="94"/>
        <v>24.393929999999997</v>
      </c>
    </row>
    <row r="908" spans="1:11" ht="24.75">
      <c r="A908" s="136" t="s">
        <v>1208</v>
      </c>
      <c r="B908" s="137" t="s">
        <v>1705</v>
      </c>
      <c r="C908" s="137" t="s">
        <v>698</v>
      </c>
      <c r="D908" s="137">
        <v>88629</v>
      </c>
      <c r="E908" s="136" t="s">
        <v>1911</v>
      </c>
      <c r="F908" s="1033" t="s">
        <v>1706</v>
      </c>
      <c r="G908" s="1034"/>
      <c r="H908" s="137" t="s">
        <v>417</v>
      </c>
      <c r="I908" s="136">
        <v>2.23E-2</v>
      </c>
      <c r="J908" s="136">
        <v>615.21</v>
      </c>
      <c r="K908" s="138">
        <f t="shared" si="94"/>
        <v>13.719183000000001</v>
      </c>
    </row>
    <row r="909" spans="1:11">
      <c r="A909" s="136" t="s">
        <v>1208</v>
      </c>
      <c r="B909" s="137" t="s">
        <v>1705</v>
      </c>
      <c r="C909" s="137" t="s">
        <v>698</v>
      </c>
      <c r="D909" s="137">
        <v>91287</v>
      </c>
      <c r="E909" s="136" t="s">
        <v>1926</v>
      </c>
      <c r="F909" s="1033" t="s">
        <v>1761</v>
      </c>
      <c r="G909" s="1034"/>
      <c r="H909" s="137" t="s">
        <v>411</v>
      </c>
      <c r="I909" s="136">
        <v>1</v>
      </c>
      <c r="J909" s="136">
        <v>288.56</v>
      </c>
      <c r="K909" s="138">
        <f t="shared" si="94"/>
        <v>288.56</v>
      </c>
    </row>
    <row r="910" spans="1:11">
      <c r="A910" s="139"/>
      <c r="E910" s="139"/>
      <c r="F910" s="139"/>
      <c r="I910" s="139"/>
      <c r="J910" s="139"/>
      <c r="K910" s="140"/>
    </row>
    <row r="911" spans="1:11">
      <c r="A911" s="139"/>
      <c r="E911" s="139"/>
      <c r="F911" s="139"/>
      <c r="I911" s="139"/>
      <c r="J911" s="139"/>
      <c r="K911" s="140"/>
    </row>
    <row r="912" spans="1:11" ht="31.5">
      <c r="A912" s="132" t="s">
        <v>1927</v>
      </c>
      <c r="B912" s="133" t="s">
        <v>1700</v>
      </c>
      <c r="C912" s="133" t="s">
        <v>698</v>
      </c>
      <c r="D912" s="133">
        <v>91287</v>
      </c>
      <c r="E912" s="134" t="s">
        <v>1926</v>
      </c>
      <c r="F912" s="134" t="s">
        <v>450</v>
      </c>
      <c r="G912" s="133"/>
      <c r="H912" s="133" t="s">
        <v>411</v>
      </c>
      <c r="I912" s="134"/>
      <c r="J912" s="146"/>
      <c r="K912" s="135">
        <f>SUM(K914:K918)</f>
        <v>288.58615000000003</v>
      </c>
    </row>
    <row r="913" spans="1:11" ht="50.1" customHeight="1">
      <c r="A913" s="128"/>
      <c r="B913" s="129" t="s">
        <v>1691</v>
      </c>
      <c r="C913" s="129" t="s">
        <v>1692</v>
      </c>
      <c r="D913" s="129" t="s">
        <v>1693</v>
      </c>
      <c r="E913" s="130" t="s">
        <v>0</v>
      </c>
      <c r="F913" s="130" t="s">
        <v>1694</v>
      </c>
      <c r="G913" s="129"/>
      <c r="H913" s="129" t="s">
        <v>1695</v>
      </c>
      <c r="I913" s="130" t="s">
        <v>1696</v>
      </c>
      <c r="J913" s="130" t="s">
        <v>1697</v>
      </c>
      <c r="K913" s="131" t="s">
        <v>1698</v>
      </c>
    </row>
    <row r="914" spans="1:11" ht="24.75">
      <c r="A914" s="136" t="s">
        <v>1208</v>
      </c>
      <c r="B914" s="137" t="s">
        <v>792</v>
      </c>
      <c r="C914" s="137" t="s">
        <v>698</v>
      </c>
      <c r="D914" s="137">
        <v>184</v>
      </c>
      <c r="E914" s="136" t="s">
        <v>1928</v>
      </c>
      <c r="F914" s="1033" t="s">
        <v>1703</v>
      </c>
      <c r="G914" s="1034"/>
      <c r="H914" s="137" t="s">
        <v>1929</v>
      </c>
      <c r="I914" s="136">
        <v>1</v>
      </c>
      <c r="J914" s="136">
        <v>158.55000000000001</v>
      </c>
      <c r="K914" s="138">
        <f>I914*J914</f>
        <v>158.55000000000001</v>
      </c>
    </row>
    <row r="915" spans="1:11">
      <c r="A915" s="136" t="s">
        <v>1208</v>
      </c>
      <c r="B915" s="137" t="s">
        <v>792</v>
      </c>
      <c r="C915" s="137" t="s">
        <v>698</v>
      </c>
      <c r="D915" s="137">
        <v>5066</v>
      </c>
      <c r="E915" s="136" t="s">
        <v>1930</v>
      </c>
      <c r="F915" s="1033" t="s">
        <v>1703</v>
      </c>
      <c r="G915" s="1034"/>
      <c r="H915" s="137" t="s">
        <v>415</v>
      </c>
      <c r="I915" s="136">
        <v>1.0999999999999999E-2</v>
      </c>
      <c r="J915" s="136">
        <v>35.119999999999997</v>
      </c>
      <c r="K915" s="138">
        <f t="shared" ref="K915:K918" si="95">I915*J915</f>
        <v>0.38631999999999994</v>
      </c>
    </row>
    <row r="916" spans="1:11">
      <c r="A916" s="136" t="s">
        <v>1208</v>
      </c>
      <c r="B916" s="137" t="s">
        <v>792</v>
      </c>
      <c r="C916" s="137" t="s">
        <v>698</v>
      </c>
      <c r="D916" s="137">
        <v>5075</v>
      </c>
      <c r="E916" s="136" t="s">
        <v>1931</v>
      </c>
      <c r="F916" s="1033" t="s">
        <v>1703</v>
      </c>
      <c r="G916" s="1034"/>
      <c r="H916" s="137" t="s">
        <v>415</v>
      </c>
      <c r="I916" s="136">
        <v>2.4E-2</v>
      </c>
      <c r="J916" s="136">
        <v>26.65</v>
      </c>
      <c r="K916" s="138">
        <f t="shared" si="95"/>
        <v>0.63959999999999995</v>
      </c>
    </row>
    <row r="917" spans="1:11">
      <c r="A917" s="136" t="s">
        <v>1208</v>
      </c>
      <c r="B917" s="137" t="s">
        <v>1705</v>
      </c>
      <c r="C917" s="137" t="s">
        <v>698</v>
      </c>
      <c r="D917" s="137">
        <v>88261</v>
      </c>
      <c r="E917" s="136" t="s">
        <v>451</v>
      </c>
      <c r="F917" s="1033" t="s">
        <v>1706</v>
      </c>
      <c r="G917" s="1034"/>
      <c r="H917" s="137" t="s">
        <v>412</v>
      </c>
      <c r="I917" s="136">
        <v>2.7410000000000001</v>
      </c>
      <c r="J917" s="136">
        <v>34.28</v>
      </c>
      <c r="K917" s="138">
        <f t="shared" si="95"/>
        <v>93.961480000000009</v>
      </c>
    </row>
    <row r="918" spans="1:11">
      <c r="A918" s="136" t="s">
        <v>1208</v>
      </c>
      <c r="B918" s="137" t="s">
        <v>1705</v>
      </c>
      <c r="C918" s="137" t="s">
        <v>698</v>
      </c>
      <c r="D918" s="137">
        <v>88316</v>
      </c>
      <c r="E918" s="136" t="s">
        <v>414</v>
      </c>
      <c r="F918" s="1033" t="s">
        <v>1706</v>
      </c>
      <c r="G918" s="1034"/>
      <c r="H918" s="137" t="s">
        <v>412</v>
      </c>
      <c r="I918" s="136">
        <v>1.375</v>
      </c>
      <c r="J918" s="136">
        <v>25.49</v>
      </c>
      <c r="K918" s="138">
        <f t="shared" si="95"/>
        <v>35.048749999999998</v>
      </c>
    </row>
    <row r="919" spans="1:11">
      <c r="A919" s="139"/>
      <c r="E919" s="139"/>
      <c r="F919" s="139"/>
      <c r="I919" s="139"/>
      <c r="J919" s="139"/>
      <c r="K919" s="140"/>
    </row>
    <row r="920" spans="1:11">
      <c r="A920" s="139"/>
      <c r="E920" s="139"/>
      <c r="F920" s="139"/>
      <c r="I920" s="139"/>
      <c r="J920" s="139"/>
      <c r="K920" s="140"/>
    </row>
    <row r="921" spans="1:11" ht="47.25">
      <c r="A921" s="132" t="s">
        <v>1932</v>
      </c>
      <c r="B921" s="133" t="s">
        <v>1700</v>
      </c>
      <c r="C921" s="133" t="s">
        <v>698</v>
      </c>
      <c r="D921" s="133">
        <v>88831</v>
      </c>
      <c r="E921" s="134" t="s">
        <v>1907</v>
      </c>
      <c r="F921" s="134" t="s">
        <v>1933</v>
      </c>
      <c r="G921" s="133"/>
      <c r="H921" s="133" t="s">
        <v>408</v>
      </c>
      <c r="I921" s="134"/>
      <c r="J921" s="146"/>
      <c r="K921" s="135">
        <f>SUM(K923:K924)</f>
        <v>0.36</v>
      </c>
    </row>
    <row r="922" spans="1:11" ht="50.1" customHeight="1">
      <c r="A922" s="128"/>
      <c r="B922" s="129" t="s">
        <v>1691</v>
      </c>
      <c r="C922" s="129" t="s">
        <v>1692</v>
      </c>
      <c r="D922" s="129" t="s">
        <v>1693</v>
      </c>
      <c r="E922" s="130" t="s">
        <v>0</v>
      </c>
      <c r="F922" s="130" t="s">
        <v>1694</v>
      </c>
      <c r="G922" s="129"/>
      <c r="H922" s="129" t="s">
        <v>1695</v>
      </c>
      <c r="I922" s="130" t="s">
        <v>1696</v>
      </c>
      <c r="J922" s="130" t="s">
        <v>1697</v>
      </c>
      <c r="K922" s="131" t="s">
        <v>1698</v>
      </c>
    </row>
    <row r="923" spans="1:11" ht="24.75">
      <c r="A923" s="136" t="s">
        <v>1208</v>
      </c>
      <c r="B923" s="137" t="s">
        <v>1705</v>
      </c>
      <c r="C923" s="137" t="s">
        <v>698</v>
      </c>
      <c r="D923" s="137">
        <v>88826</v>
      </c>
      <c r="E923" s="136" t="s">
        <v>1934</v>
      </c>
      <c r="F923" s="1033" t="s">
        <v>1737</v>
      </c>
      <c r="G923" s="1034"/>
      <c r="H923" s="137" t="s">
        <v>412</v>
      </c>
      <c r="I923" s="136">
        <v>1</v>
      </c>
      <c r="J923" s="136">
        <v>0.33</v>
      </c>
      <c r="K923" s="138">
        <f>I923*J923</f>
        <v>0.33</v>
      </c>
    </row>
    <row r="924" spans="1:11" ht="24.75">
      <c r="A924" s="136" t="s">
        <v>1208</v>
      </c>
      <c r="B924" s="137" t="s">
        <v>1705</v>
      </c>
      <c r="C924" s="137" t="s">
        <v>698</v>
      </c>
      <c r="D924" s="137">
        <v>88827</v>
      </c>
      <c r="E924" s="136" t="s">
        <v>1935</v>
      </c>
      <c r="F924" s="1033" t="s">
        <v>1737</v>
      </c>
      <c r="G924" s="1034"/>
      <c r="H924" s="137" t="s">
        <v>412</v>
      </c>
      <c r="I924" s="136">
        <v>1</v>
      </c>
      <c r="J924" s="136">
        <v>0.03</v>
      </c>
      <c r="K924" s="138">
        <f>I924*J924</f>
        <v>0.03</v>
      </c>
    </row>
    <row r="925" spans="1:11">
      <c r="A925" s="139"/>
      <c r="E925" s="139"/>
      <c r="F925" s="139"/>
      <c r="I925" s="139"/>
      <c r="J925" s="139"/>
      <c r="K925" s="140"/>
    </row>
    <row r="926" spans="1:11">
      <c r="A926" s="139"/>
      <c r="E926" s="139"/>
      <c r="F926" s="139"/>
      <c r="I926" s="139"/>
      <c r="J926" s="139"/>
      <c r="K926" s="140"/>
    </row>
    <row r="927" spans="1:11" ht="47.25">
      <c r="A927" s="132" t="s">
        <v>1936</v>
      </c>
      <c r="B927" s="133" t="s">
        <v>1700</v>
      </c>
      <c r="C927" s="133" t="s">
        <v>698</v>
      </c>
      <c r="D927" s="133">
        <v>88830</v>
      </c>
      <c r="E927" s="134" t="s">
        <v>1906</v>
      </c>
      <c r="F927" s="134" t="s">
        <v>1933</v>
      </c>
      <c r="G927" s="133"/>
      <c r="H927" s="133" t="s">
        <v>407</v>
      </c>
      <c r="I927" s="134"/>
      <c r="J927" s="146"/>
      <c r="K927" s="135">
        <f>SUM(K929:K932)</f>
        <v>2.04</v>
      </c>
    </row>
    <row r="928" spans="1:11" ht="50.1" customHeight="1">
      <c r="A928" s="128"/>
      <c r="B928" s="129" t="s">
        <v>1691</v>
      </c>
      <c r="C928" s="129" t="s">
        <v>1692</v>
      </c>
      <c r="D928" s="129" t="s">
        <v>1693</v>
      </c>
      <c r="E928" s="130" t="s">
        <v>0</v>
      </c>
      <c r="F928" s="130" t="s">
        <v>1694</v>
      </c>
      <c r="G928" s="129"/>
      <c r="H928" s="129" t="s">
        <v>1695</v>
      </c>
      <c r="I928" s="130" t="s">
        <v>1696</v>
      </c>
      <c r="J928" s="130" t="s">
        <v>1697</v>
      </c>
      <c r="K928" s="131" t="s">
        <v>1698</v>
      </c>
    </row>
    <row r="929" spans="1:11" ht="24.75">
      <c r="A929" s="136" t="s">
        <v>1208</v>
      </c>
      <c r="B929" s="137" t="s">
        <v>1705</v>
      </c>
      <c r="C929" s="137" t="s">
        <v>698</v>
      </c>
      <c r="D929" s="137">
        <v>88826</v>
      </c>
      <c r="E929" s="136" t="s">
        <v>1934</v>
      </c>
      <c r="F929" s="1033" t="s">
        <v>1737</v>
      </c>
      <c r="G929" s="1034"/>
      <c r="H929" s="137" t="s">
        <v>412</v>
      </c>
      <c r="I929" s="136">
        <v>1</v>
      </c>
      <c r="J929" s="136">
        <v>0.33</v>
      </c>
      <c r="K929" s="138">
        <f>I929*J929</f>
        <v>0.33</v>
      </c>
    </row>
    <row r="930" spans="1:11" ht="24.75">
      <c r="A930" s="136" t="s">
        <v>1208</v>
      </c>
      <c r="B930" s="137" t="s">
        <v>1705</v>
      </c>
      <c r="C930" s="137" t="s">
        <v>698</v>
      </c>
      <c r="D930" s="137">
        <v>88827</v>
      </c>
      <c r="E930" s="136" t="s">
        <v>1935</v>
      </c>
      <c r="F930" s="1033" t="s">
        <v>1737</v>
      </c>
      <c r="G930" s="1034"/>
      <c r="H930" s="137" t="s">
        <v>412</v>
      </c>
      <c r="I930" s="136">
        <v>1</v>
      </c>
      <c r="J930" s="136">
        <v>0.03</v>
      </c>
      <c r="K930" s="138">
        <f t="shared" ref="K930:K932" si="96">I930*J930</f>
        <v>0.03</v>
      </c>
    </row>
    <row r="931" spans="1:11" ht="24.75">
      <c r="A931" s="136" t="s">
        <v>1208</v>
      </c>
      <c r="B931" s="137" t="s">
        <v>1705</v>
      </c>
      <c r="C931" s="137" t="s">
        <v>698</v>
      </c>
      <c r="D931" s="137">
        <v>88828</v>
      </c>
      <c r="E931" s="136" t="s">
        <v>1937</v>
      </c>
      <c r="F931" s="1033" t="s">
        <v>1737</v>
      </c>
      <c r="G931" s="1034"/>
      <c r="H931" s="137" t="s">
        <v>412</v>
      </c>
      <c r="I931" s="136">
        <v>1</v>
      </c>
      <c r="J931" s="136">
        <v>0.36</v>
      </c>
      <c r="K931" s="138">
        <f t="shared" si="96"/>
        <v>0.36</v>
      </c>
    </row>
    <row r="932" spans="1:11" ht="24.75">
      <c r="A932" s="136" t="s">
        <v>1208</v>
      </c>
      <c r="B932" s="137" t="s">
        <v>1705</v>
      </c>
      <c r="C932" s="137" t="s">
        <v>698</v>
      </c>
      <c r="D932" s="137">
        <v>88829</v>
      </c>
      <c r="E932" s="136" t="s">
        <v>1938</v>
      </c>
      <c r="F932" s="1033" t="s">
        <v>1737</v>
      </c>
      <c r="G932" s="1034"/>
      <c r="H932" s="137" t="s">
        <v>412</v>
      </c>
      <c r="I932" s="136">
        <v>1</v>
      </c>
      <c r="J932" s="136">
        <v>1.32</v>
      </c>
      <c r="K932" s="138">
        <f t="shared" si="96"/>
        <v>1.32</v>
      </c>
    </row>
    <row r="933" spans="1:11">
      <c r="A933" s="139"/>
      <c r="E933" s="139"/>
      <c r="F933" s="139"/>
      <c r="I933" s="139"/>
      <c r="J933" s="139"/>
      <c r="K933" s="140"/>
    </row>
    <row r="934" spans="1:11">
      <c r="A934" s="139"/>
      <c r="E934" s="139"/>
      <c r="F934" s="139"/>
      <c r="I934" s="139"/>
      <c r="J934" s="139"/>
      <c r="K934" s="140"/>
    </row>
    <row r="935" spans="1:11" ht="47.25">
      <c r="A935" s="132" t="s">
        <v>1939</v>
      </c>
      <c r="B935" s="133" t="s">
        <v>1700</v>
      </c>
      <c r="C935" s="133" t="s">
        <v>698</v>
      </c>
      <c r="D935" s="133">
        <v>88826</v>
      </c>
      <c r="E935" s="134" t="s">
        <v>1934</v>
      </c>
      <c r="F935" s="134" t="s">
        <v>1933</v>
      </c>
      <c r="G935" s="133"/>
      <c r="H935" s="133" t="s">
        <v>412</v>
      </c>
      <c r="I935" s="134"/>
      <c r="J935" s="146"/>
      <c r="K935" s="135">
        <f>SUM(K937)</f>
        <v>0.33004479999999997</v>
      </c>
    </row>
    <row r="936" spans="1:11" ht="50.1" customHeight="1">
      <c r="A936" s="128"/>
      <c r="B936" s="129" t="s">
        <v>1691</v>
      </c>
      <c r="C936" s="129" t="s">
        <v>1692</v>
      </c>
      <c r="D936" s="129" t="s">
        <v>1693</v>
      </c>
      <c r="E936" s="130" t="s">
        <v>0</v>
      </c>
      <c r="F936" s="130" t="s">
        <v>1694</v>
      </c>
      <c r="G936" s="129"/>
      <c r="H936" s="129" t="s">
        <v>1695</v>
      </c>
      <c r="I936" s="130" t="s">
        <v>1696</v>
      </c>
      <c r="J936" s="130" t="s">
        <v>1697</v>
      </c>
      <c r="K936" s="131" t="s">
        <v>1698</v>
      </c>
    </row>
    <row r="937" spans="1:11" ht="24.75">
      <c r="A937" s="136" t="s">
        <v>1208</v>
      </c>
      <c r="B937" s="137" t="s">
        <v>792</v>
      </c>
      <c r="C937" s="137" t="s">
        <v>698</v>
      </c>
      <c r="D937" s="137">
        <v>10535</v>
      </c>
      <c r="E937" s="136" t="s">
        <v>1940</v>
      </c>
      <c r="F937" s="1033" t="s">
        <v>1704</v>
      </c>
      <c r="G937" s="1034"/>
      <c r="H937" s="137" t="s">
        <v>411</v>
      </c>
      <c r="I937" s="136">
        <v>6.3999999999999997E-5</v>
      </c>
      <c r="J937" s="136">
        <v>5156.95</v>
      </c>
      <c r="K937" s="138">
        <f>I937*J937</f>
        <v>0.33004479999999997</v>
      </c>
    </row>
    <row r="938" spans="1:11">
      <c r="A938" s="139"/>
      <c r="E938" s="139"/>
      <c r="F938" s="139"/>
      <c r="I938" s="139"/>
      <c r="J938" s="139"/>
      <c r="K938" s="140"/>
    </row>
    <row r="939" spans="1:11">
      <c r="A939" s="139"/>
      <c r="E939" s="139"/>
      <c r="F939" s="139"/>
      <c r="I939" s="139"/>
      <c r="J939" s="139"/>
      <c r="K939" s="140"/>
    </row>
    <row r="940" spans="1:11" ht="47.25">
      <c r="A940" s="132" t="s">
        <v>1941</v>
      </c>
      <c r="B940" s="133" t="s">
        <v>1700</v>
      </c>
      <c r="C940" s="133" t="s">
        <v>698</v>
      </c>
      <c r="D940" s="133">
        <v>88827</v>
      </c>
      <c r="E940" s="134" t="s">
        <v>1935</v>
      </c>
      <c r="F940" s="134" t="s">
        <v>1933</v>
      </c>
      <c r="G940" s="133"/>
      <c r="H940" s="133" t="s">
        <v>412</v>
      </c>
      <c r="I940" s="134"/>
      <c r="J940" s="146">
        <f>K940</f>
        <v>3.9192819999999996E-2</v>
      </c>
      <c r="K940" s="135">
        <f>SUM(K942)</f>
        <v>3.9192819999999996E-2</v>
      </c>
    </row>
    <row r="941" spans="1:11" ht="50.1" customHeight="1">
      <c r="A941" s="128"/>
      <c r="B941" s="129" t="s">
        <v>1691</v>
      </c>
      <c r="C941" s="129" t="s">
        <v>1692</v>
      </c>
      <c r="D941" s="129" t="s">
        <v>1693</v>
      </c>
      <c r="E941" s="130" t="s">
        <v>0</v>
      </c>
      <c r="F941" s="130" t="s">
        <v>1694</v>
      </c>
      <c r="G941" s="129"/>
      <c r="H941" s="129" t="s">
        <v>1695</v>
      </c>
      <c r="I941" s="130" t="s">
        <v>1696</v>
      </c>
      <c r="J941" s="130" t="s">
        <v>1697</v>
      </c>
      <c r="K941" s="131" t="s">
        <v>1698</v>
      </c>
    </row>
    <row r="942" spans="1:11" ht="24.75">
      <c r="A942" s="136" t="s">
        <v>1208</v>
      </c>
      <c r="B942" s="137" t="s">
        <v>792</v>
      </c>
      <c r="C942" s="137" t="s">
        <v>698</v>
      </c>
      <c r="D942" s="137">
        <v>10535</v>
      </c>
      <c r="E942" s="136" t="s">
        <v>1940</v>
      </c>
      <c r="F942" s="1033" t="s">
        <v>1704</v>
      </c>
      <c r="G942" s="1034"/>
      <c r="H942" s="137" t="s">
        <v>411</v>
      </c>
      <c r="I942" s="136">
        <v>7.6000000000000001E-6</v>
      </c>
      <c r="J942" s="136">
        <v>5156.95</v>
      </c>
      <c r="K942" s="138">
        <f>I942*J942</f>
        <v>3.9192819999999996E-2</v>
      </c>
    </row>
    <row r="943" spans="1:11">
      <c r="A943" s="139"/>
      <c r="E943" s="139"/>
      <c r="F943" s="139"/>
      <c r="I943" s="139"/>
      <c r="J943" s="139"/>
      <c r="K943" s="140"/>
    </row>
    <row r="944" spans="1:11">
      <c r="A944" s="139"/>
      <c r="E944" s="139"/>
      <c r="F944" s="139"/>
      <c r="I944" s="139"/>
      <c r="J944" s="139"/>
      <c r="K944" s="140"/>
    </row>
    <row r="945" spans="1:11" ht="47.25">
      <c r="A945" s="132" t="s">
        <v>1942</v>
      </c>
      <c r="B945" s="133" t="s">
        <v>1700</v>
      </c>
      <c r="C945" s="133" t="s">
        <v>698</v>
      </c>
      <c r="D945" s="133">
        <v>88828</v>
      </c>
      <c r="E945" s="134" t="s">
        <v>1937</v>
      </c>
      <c r="F945" s="134" t="s">
        <v>1933</v>
      </c>
      <c r="G945" s="133"/>
      <c r="H945" s="133" t="s">
        <v>412</v>
      </c>
      <c r="I945" s="134"/>
      <c r="J945" s="146"/>
      <c r="K945" s="135">
        <f>SUM(K947)</f>
        <v>0.36098649999999993</v>
      </c>
    </row>
    <row r="946" spans="1:11" ht="50.1" customHeight="1">
      <c r="A946" s="128"/>
      <c r="B946" s="129" t="s">
        <v>1691</v>
      </c>
      <c r="C946" s="129" t="s">
        <v>1692</v>
      </c>
      <c r="D946" s="129" t="s">
        <v>1693</v>
      </c>
      <c r="E946" s="130" t="s">
        <v>0</v>
      </c>
      <c r="F946" s="130" t="s">
        <v>1694</v>
      </c>
      <c r="G946" s="129"/>
      <c r="H946" s="129" t="s">
        <v>1695</v>
      </c>
      <c r="I946" s="130" t="s">
        <v>1696</v>
      </c>
      <c r="J946" s="130" t="s">
        <v>1697</v>
      </c>
      <c r="K946" s="131" t="s">
        <v>1698</v>
      </c>
    </row>
    <row r="947" spans="1:11" ht="24.75">
      <c r="A947" s="136" t="s">
        <v>1208</v>
      </c>
      <c r="B947" s="137" t="s">
        <v>792</v>
      </c>
      <c r="C947" s="137" t="s">
        <v>698</v>
      </c>
      <c r="D947" s="137">
        <v>10535</v>
      </c>
      <c r="E947" s="136" t="s">
        <v>1940</v>
      </c>
      <c r="F947" s="1033" t="s">
        <v>1704</v>
      </c>
      <c r="G947" s="1034"/>
      <c r="H947" s="137" t="s">
        <v>411</v>
      </c>
      <c r="I947" s="136">
        <v>6.9999999999999994E-5</v>
      </c>
      <c r="J947" s="136">
        <v>5156.95</v>
      </c>
      <c r="K947" s="138">
        <f>I947*J947</f>
        <v>0.36098649999999993</v>
      </c>
    </row>
    <row r="948" spans="1:11">
      <c r="A948" s="139"/>
      <c r="E948" s="139"/>
      <c r="F948" s="139"/>
      <c r="I948" s="139"/>
      <c r="J948" s="139"/>
      <c r="K948" s="140"/>
    </row>
    <row r="949" spans="1:11">
      <c r="A949" s="139"/>
      <c r="E949" s="139"/>
      <c r="F949" s="139"/>
      <c r="I949" s="139"/>
      <c r="J949" s="139"/>
      <c r="K949" s="140"/>
    </row>
    <row r="950" spans="1:11" ht="47.25">
      <c r="A950" s="132" t="s">
        <v>1943</v>
      </c>
      <c r="B950" s="133" t="s">
        <v>1700</v>
      </c>
      <c r="C950" s="133" t="s">
        <v>698</v>
      </c>
      <c r="D950" s="133">
        <v>88829</v>
      </c>
      <c r="E950" s="134" t="s">
        <v>1938</v>
      </c>
      <c r="F950" s="134" t="s">
        <v>1933</v>
      </c>
      <c r="G950" s="133"/>
      <c r="H950" s="133" t="s">
        <v>412</v>
      </c>
      <c r="I950" s="134"/>
      <c r="J950" s="146"/>
      <c r="K950" s="135">
        <f>SUM(K952)</f>
        <v>1.33</v>
      </c>
    </row>
    <row r="951" spans="1:11" ht="50.1" customHeight="1">
      <c r="A951" s="128"/>
      <c r="B951" s="129" t="s">
        <v>1691</v>
      </c>
      <c r="C951" s="129" t="s">
        <v>1692</v>
      </c>
      <c r="D951" s="129" t="s">
        <v>1693</v>
      </c>
      <c r="E951" s="130" t="s">
        <v>0</v>
      </c>
      <c r="F951" s="130" t="s">
        <v>1694</v>
      </c>
      <c r="G951" s="129"/>
      <c r="H951" s="129" t="s">
        <v>1695</v>
      </c>
      <c r="I951" s="130" t="s">
        <v>1696</v>
      </c>
      <c r="J951" s="130" t="s">
        <v>1697</v>
      </c>
      <c r="K951" s="131" t="s">
        <v>1698</v>
      </c>
    </row>
    <row r="952" spans="1:11">
      <c r="A952" s="136" t="s">
        <v>1208</v>
      </c>
      <c r="B952" s="137" t="s">
        <v>792</v>
      </c>
      <c r="C952" s="137" t="s">
        <v>698</v>
      </c>
      <c r="D952" s="137">
        <v>2705</v>
      </c>
      <c r="E952" s="136" t="s">
        <v>1944</v>
      </c>
      <c r="F952" s="1033" t="s">
        <v>1703</v>
      </c>
      <c r="G952" s="1034"/>
      <c r="H952" s="137" t="s">
        <v>1945</v>
      </c>
      <c r="I952" s="136">
        <v>1.25</v>
      </c>
      <c r="J952" s="136">
        <v>1.06</v>
      </c>
      <c r="K952" s="138">
        <v>1.33</v>
      </c>
    </row>
    <row r="953" spans="1:11">
      <c r="A953" s="139"/>
      <c r="E953" s="139"/>
      <c r="F953" s="139"/>
      <c r="I953" s="139"/>
      <c r="J953" s="139"/>
      <c r="K953" s="140"/>
    </row>
    <row r="954" spans="1:11">
      <c r="A954" s="139"/>
      <c r="E954" s="139"/>
      <c r="F954" s="139"/>
      <c r="I954" s="139"/>
      <c r="J954" s="139"/>
      <c r="K954" s="140"/>
    </row>
    <row r="955" spans="1:11" ht="47.25">
      <c r="A955" s="132" t="s">
        <v>1946</v>
      </c>
      <c r="B955" s="133" t="s">
        <v>1700</v>
      </c>
      <c r="C955" s="133" t="s">
        <v>698</v>
      </c>
      <c r="D955" s="133">
        <v>67827</v>
      </c>
      <c r="E955" s="134" t="s">
        <v>437</v>
      </c>
      <c r="F955" s="134" t="s">
        <v>1933</v>
      </c>
      <c r="G955" s="133"/>
      <c r="H955" s="133" t="s">
        <v>408</v>
      </c>
      <c r="I955" s="134"/>
      <c r="J955" s="146"/>
      <c r="K955" s="135">
        <f>SUM(K957:K960)</f>
        <v>56.4</v>
      </c>
    </row>
    <row r="956" spans="1:11" ht="50.1" customHeight="1">
      <c r="A956" s="128"/>
      <c r="B956" s="129" t="s">
        <v>1691</v>
      </c>
      <c r="C956" s="129" t="s">
        <v>1692</v>
      </c>
      <c r="D956" s="129" t="s">
        <v>1693</v>
      </c>
      <c r="E956" s="130" t="s">
        <v>0</v>
      </c>
      <c r="F956" s="130" t="s">
        <v>1694</v>
      </c>
      <c r="G956" s="129"/>
      <c r="H956" s="129" t="s">
        <v>1695</v>
      </c>
      <c r="I956" s="130" t="s">
        <v>1696</v>
      </c>
      <c r="J956" s="130" t="s">
        <v>1697</v>
      </c>
      <c r="K956" s="131" t="s">
        <v>1698</v>
      </c>
    </row>
    <row r="957" spans="1:11" ht="36.75">
      <c r="A957" s="136" t="s">
        <v>1208</v>
      </c>
      <c r="B957" s="137" t="s">
        <v>1705</v>
      </c>
      <c r="C957" s="137" t="s">
        <v>698</v>
      </c>
      <c r="D957" s="137">
        <v>7058</v>
      </c>
      <c r="E957" s="136" t="s">
        <v>1947</v>
      </c>
      <c r="F957" s="1033" t="s">
        <v>1737</v>
      </c>
      <c r="G957" s="1034"/>
      <c r="H957" s="137" t="s">
        <v>412</v>
      </c>
      <c r="I957" s="136">
        <v>1</v>
      </c>
      <c r="J957" s="136">
        <v>19.45</v>
      </c>
      <c r="K957" s="138">
        <f>I957*J957</f>
        <v>19.45</v>
      </c>
    </row>
    <row r="958" spans="1:11" ht="24.75">
      <c r="A958" s="136" t="s">
        <v>1208</v>
      </c>
      <c r="B958" s="137" t="s">
        <v>1705</v>
      </c>
      <c r="C958" s="137" t="s">
        <v>698</v>
      </c>
      <c r="D958" s="137">
        <v>7059</v>
      </c>
      <c r="E958" s="136" t="s">
        <v>1948</v>
      </c>
      <c r="F958" s="1033" t="s">
        <v>1737</v>
      </c>
      <c r="G958" s="1034"/>
      <c r="H958" s="137" t="s">
        <v>412</v>
      </c>
      <c r="I958" s="136">
        <v>1</v>
      </c>
      <c r="J958" s="136">
        <v>3.77</v>
      </c>
      <c r="K958" s="138">
        <f t="shared" ref="K958:K960" si="97">I958*J958</f>
        <v>3.77</v>
      </c>
    </row>
    <row r="959" spans="1:11">
      <c r="A959" s="136" t="s">
        <v>1208</v>
      </c>
      <c r="B959" s="137" t="s">
        <v>1705</v>
      </c>
      <c r="C959" s="137" t="s">
        <v>698</v>
      </c>
      <c r="D959" s="137">
        <v>88281</v>
      </c>
      <c r="E959" s="136" t="s">
        <v>1949</v>
      </c>
      <c r="F959" s="1033" t="s">
        <v>1706</v>
      </c>
      <c r="G959" s="1034"/>
      <c r="H959" s="137" t="s">
        <v>412</v>
      </c>
      <c r="I959" s="136">
        <v>1</v>
      </c>
      <c r="J959" s="136">
        <v>30.2</v>
      </c>
      <c r="K959" s="138">
        <f t="shared" si="97"/>
        <v>30.2</v>
      </c>
    </row>
    <row r="960" spans="1:11" ht="36.75">
      <c r="A960" s="136" t="s">
        <v>1208</v>
      </c>
      <c r="B960" s="137" t="s">
        <v>1705</v>
      </c>
      <c r="C960" s="137" t="s">
        <v>698</v>
      </c>
      <c r="D960" s="137">
        <v>91402</v>
      </c>
      <c r="E960" s="136" t="s">
        <v>1950</v>
      </c>
      <c r="F960" s="1033" t="s">
        <v>1737</v>
      </c>
      <c r="G960" s="1034"/>
      <c r="H960" s="137" t="s">
        <v>412</v>
      </c>
      <c r="I960" s="136">
        <v>1</v>
      </c>
      <c r="J960" s="136">
        <v>2.98</v>
      </c>
      <c r="K960" s="138">
        <f t="shared" si="97"/>
        <v>2.98</v>
      </c>
    </row>
    <row r="961" spans="1:11">
      <c r="A961" s="139"/>
      <c r="E961" s="139"/>
      <c r="F961" s="139"/>
      <c r="I961" s="139"/>
      <c r="J961" s="139"/>
      <c r="K961" s="140"/>
    </row>
    <row r="962" spans="1:11">
      <c r="A962" s="139"/>
      <c r="E962" s="139"/>
      <c r="F962" s="139"/>
      <c r="I962" s="139"/>
      <c r="J962" s="139"/>
      <c r="K962" s="140"/>
    </row>
    <row r="963" spans="1:11" ht="47.25">
      <c r="A963" s="132" t="s">
        <v>1951</v>
      </c>
      <c r="B963" s="133" t="s">
        <v>1700</v>
      </c>
      <c r="C963" s="133" t="s">
        <v>698</v>
      </c>
      <c r="D963" s="133">
        <v>67826</v>
      </c>
      <c r="E963" s="134" t="s">
        <v>434</v>
      </c>
      <c r="F963" s="134" t="s">
        <v>1933</v>
      </c>
      <c r="G963" s="133"/>
      <c r="H963" s="133" t="s">
        <v>407</v>
      </c>
      <c r="I963" s="134"/>
      <c r="J963" s="146"/>
      <c r="K963" s="135">
        <f>SUM(K965:K970)</f>
        <v>184.48</v>
      </c>
    </row>
    <row r="964" spans="1:11" ht="50.1" customHeight="1">
      <c r="A964" s="128"/>
      <c r="B964" s="129" t="s">
        <v>1691</v>
      </c>
      <c r="C964" s="129" t="s">
        <v>1692</v>
      </c>
      <c r="D964" s="129" t="s">
        <v>1693</v>
      </c>
      <c r="E964" s="130" t="s">
        <v>0</v>
      </c>
      <c r="F964" s="130" t="s">
        <v>1694</v>
      </c>
      <c r="G964" s="129"/>
      <c r="H964" s="129" t="s">
        <v>1695</v>
      </c>
      <c r="I964" s="130" t="s">
        <v>1696</v>
      </c>
      <c r="J964" s="130" t="s">
        <v>1697</v>
      </c>
      <c r="K964" s="131" t="s">
        <v>1698</v>
      </c>
    </row>
    <row r="965" spans="1:11" ht="36.75">
      <c r="A965" s="136" t="s">
        <v>1208</v>
      </c>
      <c r="B965" s="137" t="s">
        <v>1705</v>
      </c>
      <c r="C965" s="137" t="s">
        <v>698</v>
      </c>
      <c r="D965" s="137">
        <v>7058</v>
      </c>
      <c r="E965" s="136" t="s">
        <v>1947</v>
      </c>
      <c r="F965" s="1033" t="s">
        <v>1737</v>
      </c>
      <c r="G965" s="1034"/>
      <c r="H965" s="137" t="s">
        <v>412</v>
      </c>
      <c r="I965" s="136">
        <v>1</v>
      </c>
      <c r="J965" s="136">
        <v>19.45</v>
      </c>
      <c r="K965" s="138">
        <f>J965*I965</f>
        <v>19.45</v>
      </c>
    </row>
    <row r="966" spans="1:11" ht="24.75">
      <c r="A966" s="136" t="s">
        <v>1208</v>
      </c>
      <c r="B966" s="137" t="s">
        <v>1705</v>
      </c>
      <c r="C966" s="137" t="s">
        <v>698</v>
      </c>
      <c r="D966" s="137">
        <v>7059</v>
      </c>
      <c r="E966" s="136" t="s">
        <v>1948</v>
      </c>
      <c r="F966" s="1033" t="s">
        <v>1737</v>
      </c>
      <c r="G966" s="1034"/>
      <c r="H966" s="137" t="s">
        <v>412</v>
      </c>
      <c r="I966" s="136">
        <v>1</v>
      </c>
      <c r="J966" s="136">
        <v>3.77</v>
      </c>
      <c r="K966" s="138">
        <f t="shared" ref="K966:K970" si="98">J966*I966</f>
        <v>3.77</v>
      </c>
    </row>
    <row r="967" spans="1:11" ht="36.75">
      <c r="A967" s="136" t="s">
        <v>1208</v>
      </c>
      <c r="B967" s="137" t="s">
        <v>1705</v>
      </c>
      <c r="C967" s="137" t="s">
        <v>698</v>
      </c>
      <c r="D967" s="137">
        <v>7060</v>
      </c>
      <c r="E967" s="136" t="s">
        <v>1952</v>
      </c>
      <c r="F967" s="1033" t="s">
        <v>1737</v>
      </c>
      <c r="G967" s="1034"/>
      <c r="H967" s="137" t="s">
        <v>412</v>
      </c>
      <c r="I967" s="136">
        <v>1</v>
      </c>
      <c r="J967" s="136">
        <v>34.79</v>
      </c>
      <c r="K967" s="138">
        <f t="shared" si="98"/>
        <v>34.79</v>
      </c>
    </row>
    <row r="968" spans="1:11" ht="36.75">
      <c r="A968" s="136" t="s">
        <v>1208</v>
      </c>
      <c r="B968" s="137" t="s">
        <v>1705</v>
      </c>
      <c r="C968" s="137" t="s">
        <v>698</v>
      </c>
      <c r="D968" s="137">
        <v>7061</v>
      </c>
      <c r="E968" s="136" t="s">
        <v>1953</v>
      </c>
      <c r="F968" s="1033" t="s">
        <v>1737</v>
      </c>
      <c r="G968" s="1034"/>
      <c r="H968" s="137" t="s">
        <v>412</v>
      </c>
      <c r="I968" s="136">
        <v>1</v>
      </c>
      <c r="J968" s="136">
        <v>93.29</v>
      </c>
      <c r="K968" s="138">
        <f t="shared" si="98"/>
        <v>93.29</v>
      </c>
    </row>
    <row r="969" spans="1:11">
      <c r="A969" s="136" t="s">
        <v>1208</v>
      </c>
      <c r="B969" s="137" t="s">
        <v>1705</v>
      </c>
      <c r="C969" s="137" t="s">
        <v>698</v>
      </c>
      <c r="D969" s="137">
        <v>88281</v>
      </c>
      <c r="E969" s="136" t="s">
        <v>1949</v>
      </c>
      <c r="F969" s="1033" t="s">
        <v>1706</v>
      </c>
      <c r="G969" s="1034"/>
      <c r="H969" s="137" t="s">
        <v>412</v>
      </c>
      <c r="I969" s="136">
        <v>1</v>
      </c>
      <c r="J969" s="136">
        <v>30.2</v>
      </c>
      <c r="K969" s="138">
        <f t="shared" si="98"/>
        <v>30.2</v>
      </c>
    </row>
    <row r="970" spans="1:11" ht="36.75">
      <c r="A970" s="136" t="s">
        <v>1208</v>
      </c>
      <c r="B970" s="137" t="s">
        <v>1705</v>
      </c>
      <c r="C970" s="137" t="s">
        <v>698</v>
      </c>
      <c r="D970" s="137">
        <v>91402</v>
      </c>
      <c r="E970" s="136" t="s">
        <v>1950</v>
      </c>
      <c r="F970" s="1033" t="s">
        <v>1737</v>
      </c>
      <c r="G970" s="1034"/>
      <c r="H970" s="137" t="s">
        <v>412</v>
      </c>
      <c r="I970" s="136">
        <v>1</v>
      </c>
      <c r="J970" s="136">
        <v>2.98</v>
      </c>
      <c r="K970" s="138">
        <f t="shared" si="98"/>
        <v>2.98</v>
      </c>
    </row>
    <row r="971" spans="1:11">
      <c r="A971" s="139"/>
      <c r="E971" s="139"/>
      <c r="F971" s="139"/>
      <c r="I971" s="139"/>
      <c r="J971" s="139"/>
      <c r="K971" s="140"/>
    </row>
    <row r="972" spans="1:11">
      <c r="A972" s="139"/>
      <c r="E972" s="139"/>
      <c r="F972" s="139"/>
      <c r="I972" s="139"/>
      <c r="J972" s="139"/>
      <c r="K972" s="140"/>
    </row>
    <row r="973" spans="1:11" ht="47.25">
      <c r="A973" s="132" t="s">
        <v>1954</v>
      </c>
      <c r="B973" s="133" t="s">
        <v>1700</v>
      </c>
      <c r="C973" s="133" t="s">
        <v>698</v>
      </c>
      <c r="D973" s="133">
        <v>7058</v>
      </c>
      <c r="E973" s="134" t="s">
        <v>1947</v>
      </c>
      <c r="F973" s="134" t="s">
        <v>1933</v>
      </c>
      <c r="G973" s="133"/>
      <c r="H973" s="133" t="s">
        <v>412</v>
      </c>
      <c r="I973" s="134"/>
      <c r="J973" s="146"/>
      <c r="K973" s="135">
        <f>SUM(K975:K976)</f>
        <v>19.460595005999998</v>
      </c>
    </row>
    <row r="974" spans="1:11" ht="50.1" customHeight="1">
      <c r="A974" s="128"/>
      <c r="B974" s="129" t="s">
        <v>1691</v>
      </c>
      <c r="C974" s="129" t="s">
        <v>1692</v>
      </c>
      <c r="D974" s="129" t="s">
        <v>1693</v>
      </c>
      <c r="E974" s="130" t="s">
        <v>0</v>
      </c>
      <c r="F974" s="130" t="s">
        <v>1694</v>
      </c>
      <c r="G974" s="129"/>
      <c r="H974" s="129" t="s">
        <v>1695</v>
      </c>
      <c r="I974" s="130" t="s">
        <v>1696</v>
      </c>
      <c r="J974" s="130" t="s">
        <v>1697</v>
      </c>
      <c r="K974" s="131" t="s">
        <v>1698</v>
      </c>
    </row>
    <row r="975" spans="1:11" ht="24.75">
      <c r="A975" s="136" t="s">
        <v>1208</v>
      </c>
      <c r="B975" s="137" t="s">
        <v>792</v>
      </c>
      <c r="C975" s="137" t="s">
        <v>698</v>
      </c>
      <c r="D975" s="137">
        <v>37733</v>
      </c>
      <c r="E975" s="136" t="s">
        <v>1955</v>
      </c>
      <c r="F975" s="1033" t="s">
        <v>1704</v>
      </c>
      <c r="G975" s="1034"/>
      <c r="H975" s="137" t="s">
        <v>411</v>
      </c>
      <c r="I975" s="136">
        <v>6.0300000000000002E-5</v>
      </c>
      <c r="J975" s="136">
        <v>61118.879999999997</v>
      </c>
      <c r="K975" s="138">
        <f>I975*J975</f>
        <v>3.6854684639999999</v>
      </c>
    </row>
    <row r="976" spans="1:11" ht="24.75">
      <c r="A976" s="136" t="s">
        <v>1208</v>
      </c>
      <c r="B976" s="137" t="s">
        <v>792</v>
      </c>
      <c r="C976" s="137" t="s">
        <v>698</v>
      </c>
      <c r="D976" s="137">
        <v>37752</v>
      </c>
      <c r="E976" s="136" t="s">
        <v>1956</v>
      </c>
      <c r="F976" s="1033" t="s">
        <v>1704</v>
      </c>
      <c r="G976" s="1034"/>
      <c r="H976" s="137" t="s">
        <v>411</v>
      </c>
      <c r="I976" s="136">
        <v>3.4199999999999998E-5</v>
      </c>
      <c r="J976" s="136">
        <v>461261.01</v>
      </c>
      <c r="K976" s="138">
        <f>I976*J976</f>
        <v>15.775126541999999</v>
      </c>
    </row>
    <row r="977" spans="1:11">
      <c r="A977" s="139"/>
      <c r="E977" s="139"/>
      <c r="F977" s="139"/>
      <c r="I977" s="139"/>
      <c r="J977" s="139"/>
      <c r="K977" s="140"/>
    </row>
    <row r="978" spans="1:11">
      <c r="A978" s="139"/>
      <c r="E978" s="139"/>
      <c r="F978" s="139"/>
      <c r="I978" s="139"/>
      <c r="J978" s="139"/>
      <c r="K978" s="140"/>
    </row>
    <row r="979" spans="1:11" ht="47.25">
      <c r="A979" s="132" t="s">
        <v>1957</v>
      </c>
      <c r="B979" s="133" t="s">
        <v>1700</v>
      </c>
      <c r="C979" s="133" t="s">
        <v>698</v>
      </c>
      <c r="D979" s="133">
        <v>91402</v>
      </c>
      <c r="E979" s="134" t="s">
        <v>1950</v>
      </c>
      <c r="F979" s="134" t="s">
        <v>1933</v>
      </c>
      <c r="G979" s="133"/>
      <c r="H979" s="133" t="s">
        <v>412</v>
      </c>
      <c r="I979" s="134"/>
      <c r="J979" s="146"/>
      <c r="K979" s="135">
        <f>SUM(K981:K982)</f>
        <v>2.9897891489999999</v>
      </c>
    </row>
    <row r="980" spans="1:11" ht="50.1" customHeight="1">
      <c r="A980" s="128"/>
      <c r="B980" s="129" t="s">
        <v>1691</v>
      </c>
      <c r="C980" s="129" t="s">
        <v>1692</v>
      </c>
      <c r="D980" s="129" t="s">
        <v>1693</v>
      </c>
      <c r="E980" s="130" t="s">
        <v>0</v>
      </c>
      <c r="F980" s="130" t="s">
        <v>1694</v>
      </c>
      <c r="G980" s="129"/>
      <c r="H980" s="129" t="s">
        <v>1695</v>
      </c>
      <c r="I980" s="130" t="s">
        <v>1696</v>
      </c>
      <c r="J980" s="130" t="s">
        <v>1697</v>
      </c>
      <c r="K980" s="131" t="s">
        <v>1698</v>
      </c>
    </row>
    <row r="981" spans="1:11" ht="24.75">
      <c r="A981" s="136" t="s">
        <v>1208</v>
      </c>
      <c r="B981" s="137" t="s">
        <v>792</v>
      </c>
      <c r="C981" s="137" t="s">
        <v>698</v>
      </c>
      <c r="D981" s="137">
        <v>37733</v>
      </c>
      <c r="E981" s="136" t="s">
        <v>1955</v>
      </c>
      <c r="F981" s="1033" t="s">
        <v>1704</v>
      </c>
      <c r="G981" s="1034"/>
      <c r="H981" s="137" t="s">
        <v>411</v>
      </c>
      <c r="I981" s="136">
        <v>5.9000000000000003E-6</v>
      </c>
      <c r="J981" s="136">
        <v>61118.879999999997</v>
      </c>
      <c r="K981" s="138">
        <f>I981*J981</f>
        <v>0.36060139200000002</v>
      </c>
    </row>
    <row r="982" spans="1:11" ht="24.75">
      <c r="A982" s="136" t="s">
        <v>1208</v>
      </c>
      <c r="B982" s="137" t="s">
        <v>792</v>
      </c>
      <c r="C982" s="137" t="s">
        <v>698</v>
      </c>
      <c r="D982" s="137">
        <v>37752</v>
      </c>
      <c r="E982" s="136" t="s">
        <v>1956</v>
      </c>
      <c r="F982" s="1033" t="s">
        <v>1704</v>
      </c>
      <c r="G982" s="1034"/>
      <c r="H982" s="137" t="s">
        <v>411</v>
      </c>
      <c r="I982" s="136">
        <v>5.6999999999999996E-6</v>
      </c>
      <c r="J982" s="136">
        <v>461261.01</v>
      </c>
      <c r="K982" s="138">
        <f>I982*J982</f>
        <v>2.629187757</v>
      </c>
    </row>
    <row r="983" spans="1:11">
      <c r="A983" s="139"/>
      <c r="E983" s="139"/>
      <c r="F983" s="139"/>
      <c r="I983" s="139"/>
      <c r="J983" s="139"/>
      <c r="K983" s="140"/>
    </row>
    <row r="984" spans="1:11">
      <c r="A984" s="139"/>
      <c r="E984" s="139"/>
      <c r="F984" s="139"/>
      <c r="I984" s="139"/>
      <c r="J984" s="139"/>
      <c r="K984" s="140"/>
    </row>
    <row r="985" spans="1:11" ht="47.25">
      <c r="A985" s="132" t="s">
        <v>1958</v>
      </c>
      <c r="B985" s="133" t="s">
        <v>1700</v>
      </c>
      <c r="C985" s="133" t="s">
        <v>698</v>
      </c>
      <c r="D985" s="133">
        <v>7059</v>
      </c>
      <c r="E985" s="134" t="s">
        <v>1948</v>
      </c>
      <c r="F985" s="134" t="s">
        <v>1933</v>
      </c>
      <c r="G985" s="133"/>
      <c r="H985" s="133" t="s">
        <v>412</v>
      </c>
      <c r="I985" s="134"/>
      <c r="J985" s="146"/>
      <c r="K985" s="135">
        <f>SUM(K987:K988)</f>
        <v>3.773358912</v>
      </c>
    </row>
    <row r="986" spans="1:11" ht="50.1" customHeight="1">
      <c r="A986" s="128"/>
      <c r="B986" s="129" t="s">
        <v>1691</v>
      </c>
      <c r="C986" s="129" t="s">
        <v>1692</v>
      </c>
      <c r="D986" s="129" t="s">
        <v>1693</v>
      </c>
      <c r="E986" s="130" t="s">
        <v>0</v>
      </c>
      <c r="F986" s="130" t="s">
        <v>1694</v>
      </c>
      <c r="G986" s="129"/>
      <c r="H986" s="129" t="s">
        <v>1695</v>
      </c>
      <c r="I986" s="130" t="s">
        <v>1696</v>
      </c>
      <c r="J986" s="130" t="s">
        <v>1697</v>
      </c>
      <c r="K986" s="131" t="s">
        <v>1698</v>
      </c>
    </row>
    <row r="987" spans="1:11" ht="24.75">
      <c r="A987" s="136" t="s">
        <v>1208</v>
      </c>
      <c r="B987" s="137" t="s">
        <v>792</v>
      </c>
      <c r="C987" s="137" t="s">
        <v>698</v>
      </c>
      <c r="D987" s="137">
        <v>37733</v>
      </c>
      <c r="E987" s="136" t="s">
        <v>1955</v>
      </c>
      <c r="F987" s="1033" t="s">
        <v>1704</v>
      </c>
      <c r="G987" s="1034"/>
      <c r="H987" s="137" t="s">
        <v>411</v>
      </c>
      <c r="I987" s="136">
        <v>7.4000000000000003E-6</v>
      </c>
      <c r="J987" s="136">
        <v>61118.879999999997</v>
      </c>
      <c r="K987" s="138">
        <f>I987*J987</f>
        <v>0.452279712</v>
      </c>
    </row>
    <row r="988" spans="1:11" ht="24.75">
      <c r="A988" s="136" t="s">
        <v>1208</v>
      </c>
      <c r="B988" s="137" t="s">
        <v>792</v>
      </c>
      <c r="C988" s="137" t="s">
        <v>698</v>
      </c>
      <c r="D988" s="137">
        <v>37752</v>
      </c>
      <c r="E988" s="136" t="s">
        <v>1956</v>
      </c>
      <c r="F988" s="1033" t="s">
        <v>1704</v>
      </c>
      <c r="G988" s="1034"/>
      <c r="H988" s="137" t="s">
        <v>411</v>
      </c>
      <c r="I988" s="136">
        <v>7.1999999999999997E-6</v>
      </c>
      <c r="J988" s="136">
        <v>461261</v>
      </c>
      <c r="K988" s="138">
        <f>I988*J988</f>
        <v>3.3210791999999998</v>
      </c>
    </row>
    <row r="989" spans="1:11">
      <c r="A989" s="139"/>
      <c r="E989" s="139"/>
      <c r="F989" s="139"/>
      <c r="I989" s="139"/>
      <c r="J989" s="139"/>
      <c r="K989" s="140"/>
    </row>
    <row r="990" spans="1:11">
      <c r="A990" s="139"/>
      <c r="E990" s="139"/>
      <c r="F990" s="139"/>
      <c r="I990" s="139"/>
      <c r="J990" s="139"/>
      <c r="K990" s="140"/>
    </row>
    <row r="991" spans="1:11" ht="47.25">
      <c r="A991" s="132" t="s">
        <v>1959</v>
      </c>
      <c r="B991" s="133" t="s">
        <v>1700</v>
      </c>
      <c r="C991" s="133" t="s">
        <v>698</v>
      </c>
      <c r="D991" s="133">
        <v>7060</v>
      </c>
      <c r="E991" s="134" t="s">
        <v>1952</v>
      </c>
      <c r="F991" s="134" t="s">
        <v>1933</v>
      </c>
      <c r="G991" s="133"/>
      <c r="H991" s="133" t="s">
        <v>412</v>
      </c>
      <c r="I991" s="134"/>
      <c r="J991" s="146"/>
      <c r="K991" s="135">
        <f>SUM(K993:K994)</f>
        <v>34.801949754000006</v>
      </c>
    </row>
    <row r="992" spans="1:11" ht="50.1" customHeight="1">
      <c r="A992" s="128"/>
      <c r="B992" s="129" t="s">
        <v>1691</v>
      </c>
      <c r="C992" s="129" t="s">
        <v>1692</v>
      </c>
      <c r="D992" s="129" t="s">
        <v>1693</v>
      </c>
      <c r="E992" s="130" t="s">
        <v>0</v>
      </c>
      <c r="F992" s="130" t="s">
        <v>1694</v>
      </c>
      <c r="G992" s="129"/>
      <c r="H992" s="129" t="s">
        <v>1695</v>
      </c>
      <c r="I992" s="130" t="s">
        <v>1696</v>
      </c>
      <c r="J992" s="130" t="s">
        <v>1697</v>
      </c>
      <c r="K992" s="131" t="s">
        <v>1698</v>
      </c>
    </row>
    <row r="993" spans="1:11" ht="24.75">
      <c r="A993" s="136" t="s">
        <v>1208</v>
      </c>
      <c r="B993" s="137" t="s">
        <v>792</v>
      </c>
      <c r="C993" s="137" t="s">
        <v>698</v>
      </c>
      <c r="D993" s="137">
        <v>37733</v>
      </c>
      <c r="E993" s="136" t="s">
        <v>1955</v>
      </c>
      <c r="F993" s="1033" t="s">
        <v>1704</v>
      </c>
      <c r="G993" s="1034"/>
      <c r="H993" s="137" t="s">
        <v>411</v>
      </c>
      <c r="I993" s="136">
        <v>8.4900000000000004E-5</v>
      </c>
      <c r="J993" s="136">
        <v>61118.879999999997</v>
      </c>
      <c r="K993" s="138">
        <f>I993*J993</f>
        <v>5.1889929119999998</v>
      </c>
    </row>
    <row r="994" spans="1:11" ht="24.75">
      <c r="A994" s="136" t="s">
        <v>1208</v>
      </c>
      <c r="B994" s="137" t="s">
        <v>792</v>
      </c>
      <c r="C994" s="137" t="s">
        <v>698</v>
      </c>
      <c r="D994" s="137">
        <v>37752</v>
      </c>
      <c r="E994" s="136" t="s">
        <v>1956</v>
      </c>
      <c r="F994" s="1033" t="s">
        <v>1704</v>
      </c>
      <c r="G994" s="1034"/>
      <c r="H994" s="137" t="s">
        <v>411</v>
      </c>
      <c r="I994" s="136">
        <v>6.4200000000000002E-5</v>
      </c>
      <c r="J994" s="136">
        <v>461261.01</v>
      </c>
      <c r="K994" s="138">
        <f>I994*J994</f>
        <v>29.612956842000003</v>
      </c>
    </row>
    <row r="995" spans="1:11">
      <c r="A995" s="139"/>
      <c r="E995" s="139"/>
      <c r="F995" s="139"/>
      <c r="I995" s="139"/>
      <c r="J995" s="139"/>
      <c r="K995" s="140"/>
    </row>
    <row r="996" spans="1:11">
      <c r="A996" s="139"/>
      <c r="E996" s="139"/>
      <c r="F996" s="139"/>
      <c r="I996" s="139"/>
      <c r="J996" s="139"/>
      <c r="K996" s="140"/>
    </row>
    <row r="997" spans="1:11" ht="47.25">
      <c r="A997" s="132" t="s">
        <v>1960</v>
      </c>
      <c r="B997" s="133" t="s">
        <v>1700</v>
      </c>
      <c r="C997" s="133" t="s">
        <v>698</v>
      </c>
      <c r="D997" s="133">
        <v>7061</v>
      </c>
      <c r="E997" s="134" t="s">
        <v>1953</v>
      </c>
      <c r="F997" s="134" t="s">
        <v>1933</v>
      </c>
      <c r="G997" s="133"/>
      <c r="H997" s="133" t="s">
        <v>412</v>
      </c>
      <c r="I997" s="134"/>
      <c r="J997" s="146"/>
      <c r="K997" s="135">
        <f>SUM(K999)</f>
        <v>93.296999999999983</v>
      </c>
    </row>
    <row r="998" spans="1:11" ht="50.1" customHeight="1">
      <c r="A998" s="128"/>
      <c r="B998" s="129" t="s">
        <v>1691</v>
      </c>
      <c r="C998" s="129" t="s">
        <v>1692</v>
      </c>
      <c r="D998" s="129" t="s">
        <v>1693</v>
      </c>
      <c r="E998" s="130" t="s">
        <v>0</v>
      </c>
      <c r="F998" s="130" t="s">
        <v>1694</v>
      </c>
      <c r="G998" s="129"/>
      <c r="H998" s="129" t="s">
        <v>1695</v>
      </c>
      <c r="I998" s="130" t="s">
        <v>1696</v>
      </c>
      <c r="J998" s="130" t="s">
        <v>1697</v>
      </c>
      <c r="K998" s="131" t="s">
        <v>1698</v>
      </c>
    </row>
    <row r="999" spans="1:11">
      <c r="A999" s="136" t="s">
        <v>1208</v>
      </c>
      <c r="B999" s="137" t="s">
        <v>792</v>
      </c>
      <c r="C999" s="137" t="s">
        <v>698</v>
      </c>
      <c r="D999" s="137">
        <v>4221</v>
      </c>
      <c r="E999" s="136" t="s">
        <v>1961</v>
      </c>
      <c r="F999" s="1033" t="s">
        <v>1703</v>
      </c>
      <c r="G999" s="1034"/>
      <c r="H999" s="137" t="s">
        <v>438</v>
      </c>
      <c r="I999" s="136">
        <v>13.62</v>
      </c>
      <c r="J999" s="136">
        <v>6.85</v>
      </c>
      <c r="K999" s="138">
        <f>I999*J999</f>
        <v>93.296999999999983</v>
      </c>
    </row>
    <row r="1000" spans="1:11">
      <c r="A1000" s="139"/>
      <c r="E1000" s="139"/>
      <c r="F1000" s="139"/>
      <c r="I1000" s="139"/>
      <c r="J1000" s="139"/>
      <c r="K1000" s="140"/>
    </row>
    <row r="1001" spans="1:11">
      <c r="A1001" s="139"/>
      <c r="E1001" s="139"/>
      <c r="F1001" s="139"/>
      <c r="I1001" s="139"/>
      <c r="J1001" s="139"/>
      <c r="K1001" s="140"/>
    </row>
    <row r="1002" spans="1:11" ht="15.75">
      <c r="A1002" s="132" t="s">
        <v>1962</v>
      </c>
      <c r="B1002" s="133" t="s">
        <v>1700</v>
      </c>
      <c r="C1002" s="133" t="s">
        <v>698</v>
      </c>
      <c r="D1002" s="133">
        <v>88261</v>
      </c>
      <c r="E1002" s="134" t="s">
        <v>451</v>
      </c>
      <c r="F1002" s="134" t="s">
        <v>601</v>
      </c>
      <c r="G1002" s="133"/>
      <c r="H1002" s="133" t="s">
        <v>412</v>
      </c>
      <c r="I1002" s="134"/>
      <c r="J1002" s="146"/>
      <c r="K1002" s="135">
        <f>SUM(K1004:K1011)</f>
        <v>34.280000000000008</v>
      </c>
    </row>
    <row r="1003" spans="1:11" ht="50.1" customHeight="1">
      <c r="A1003" s="128"/>
      <c r="B1003" s="129" t="s">
        <v>1691</v>
      </c>
      <c r="C1003" s="129" t="s">
        <v>1692</v>
      </c>
      <c r="D1003" s="129" t="s">
        <v>1693</v>
      </c>
      <c r="E1003" s="130" t="s">
        <v>0</v>
      </c>
      <c r="F1003" s="130" t="s">
        <v>1694</v>
      </c>
      <c r="G1003" s="129"/>
      <c r="H1003" s="129" t="s">
        <v>1695</v>
      </c>
      <c r="I1003" s="130" t="s">
        <v>1696</v>
      </c>
      <c r="J1003" s="130" t="s">
        <v>1697</v>
      </c>
      <c r="K1003" s="131" t="s">
        <v>1698</v>
      </c>
    </row>
    <row r="1004" spans="1:11">
      <c r="A1004" s="136" t="s">
        <v>1208</v>
      </c>
      <c r="B1004" s="137" t="s">
        <v>792</v>
      </c>
      <c r="C1004" s="137" t="s">
        <v>698</v>
      </c>
      <c r="D1004" s="137">
        <v>1214</v>
      </c>
      <c r="E1004" s="136" t="s">
        <v>1963</v>
      </c>
      <c r="F1004" s="1033" t="s">
        <v>1702</v>
      </c>
      <c r="G1004" s="1034"/>
      <c r="H1004" s="137" t="s">
        <v>412</v>
      </c>
      <c r="I1004" s="136">
        <v>1</v>
      </c>
      <c r="J1004" s="136">
        <v>26.48</v>
      </c>
      <c r="K1004" s="138">
        <f>I1004*J1004</f>
        <v>26.48</v>
      </c>
    </row>
    <row r="1005" spans="1:11">
      <c r="A1005" s="136" t="s">
        <v>1208</v>
      </c>
      <c r="B1005" s="137" t="s">
        <v>792</v>
      </c>
      <c r="C1005" s="137" t="s">
        <v>698</v>
      </c>
      <c r="D1005" s="137">
        <v>37370</v>
      </c>
      <c r="E1005" s="136" t="s">
        <v>653</v>
      </c>
      <c r="F1005" s="1033" t="s">
        <v>1703</v>
      </c>
      <c r="G1005" s="1034"/>
      <c r="H1005" s="137" t="s">
        <v>412</v>
      </c>
      <c r="I1005" s="136">
        <v>1</v>
      </c>
      <c r="J1005" s="136">
        <v>3.91</v>
      </c>
      <c r="K1005" s="138">
        <f t="shared" ref="K1005:K1011" si="99">I1005*J1005</f>
        <v>3.91</v>
      </c>
    </row>
    <row r="1006" spans="1:11">
      <c r="A1006" s="136" t="s">
        <v>1208</v>
      </c>
      <c r="B1006" s="137" t="s">
        <v>792</v>
      </c>
      <c r="C1006" s="137" t="s">
        <v>698</v>
      </c>
      <c r="D1006" s="137">
        <v>37371</v>
      </c>
      <c r="E1006" s="136" t="s">
        <v>654</v>
      </c>
      <c r="F1006" s="1033" t="s">
        <v>1889</v>
      </c>
      <c r="G1006" s="1034"/>
      <c r="H1006" s="137" t="s">
        <v>412</v>
      </c>
      <c r="I1006" s="136">
        <v>1</v>
      </c>
      <c r="J1006" s="136">
        <v>1</v>
      </c>
      <c r="K1006" s="138">
        <f t="shared" si="99"/>
        <v>1</v>
      </c>
    </row>
    <row r="1007" spans="1:11">
      <c r="A1007" s="136" t="s">
        <v>1208</v>
      </c>
      <c r="B1007" s="137" t="s">
        <v>792</v>
      </c>
      <c r="C1007" s="137" t="s">
        <v>698</v>
      </c>
      <c r="D1007" s="137">
        <v>37372</v>
      </c>
      <c r="E1007" s="136" t="s">
        <v>655</v>
      </c>
      <c r="F1007" s="1033" t="s">
        <v>1703</v>
      </c>
      <c r="G1007" s="1034"/>
      <c r="H1007" s="137" t="s">
        <v>412</v>
      </c>
      <c r="I1007" s="136">
        <v>1</v>
      </c>
      <c r="J1007" s="136">
        <v>0.81</v>
      </c>
      <c r="K1007" s="138">
        <f t="shared" si="99"/>
        <v>0.81</v>
      </c>
    </row>
    <row r="1008" spans="1:11">
      <c r="A1008" s="136" t="s">
        <v>1208</v>
      </c>
      <c r="B1008" s="137" t="s">
        <v>792</v>
      </c>
      <c r="C1008" s="137" t="s">
        <v>698</v>
      </c>
      <c r="D1008" s="137">
        <v>37373</v>
      </c>
      <c r="E1008" s="136" t="s">
        <v>656</v>
      </c>
      <c r="F1008" s="1033" t="s">
        <v>1890</v>
      </c>
      <c r="G1008" s="1034"/>
      <c r="H1008" s="137" t="s">
        <v>412</v>
      </c>
      <c r="I1008" s="136">
        <v>1</v>
      </c>
      <c r="J1008" s="136">
        <v>0.06</v>
      </c>
      <c r="K1008" s="138">
        <f t="shared" si="99"/>
        <v>0.06</v>
      </c>
    </row>
    <row r="1009" spans="1:11" ht="24.75">
      <c r="A1009" s="136" t="s">
        <v>1208</v>
      </c>
      <c r="B1009" s="137" t="s">
        <v>792</v>
      </c>
      <c r="C1009" s="137" t="s">
        <v>698</v>
      </c>
      <c r="D1009" s="137">
        <v>43459</v>
      </c>
      <c r="E1009" s="136" t="s">
        <v>1964</v>
      </c>
      <c r="F1009" s="1033" t="s">
        <v>1704</v>
      </c>
      <c r="G1009" s="1034"/>
      <c r="H1009" s="137" t="s">
        <v>412</v>
      </c>
      <c r="I1009" s="136">
        <v>1</v>
      </c>
      <c r="J1009" s="136">
        <v>0.45</v>
      </c>
      <c r="K1009" s="138">
        <f t="shared" si="99"/>
        <v>0.45</v>
      </c>
    </row>
    <row r="1010" spans="1:11">
      <c r="A1010" s="136" t="s">
        <v>1208</v>
      </c>
      <c r="B1010" s="137" t="s">
        <v>792</v>
      </c>
      <c r="C1010" s="137" t="s">
        <v>698</v>
      </c>
      <c r="D1010" s="137">
        <v>43483</v>
      </c>
      <c r="E1010" s="136" t="s">
        <v>1965</v>
      </c>
      <c r="F1010" s="1033" t="s">
        <v>1704</v>
      </c>
      <c r="G1010" s="1034"/>
      <c r="H1010" s="137" t="s">
        <v>412</v>
      </c>
      <c r="I1010" s="136">
        <v>1</v>
      </c>
      <c r="J1010" s="136">
        <v>1.26</v>
      </c>
      <c r="K1010" s="138">
        <f t="shared" si="99"/>
        <v>1.26</v>
      </c>
    </row>
    <row r="1011" spans="1:11">
      <c r="A1011" s="136" t="s">
        <v>1208</v>
      </c>
      <c r="B1011" s="137" t="s">
        <v>1705</v>
      </c>
      <c r="C1011" s="137" t="s">
        <v>698</v>
      </c>
      <c r="D1011" s="137">
        <v>95329</v>
      </c>
      <c r="E1011" s="136" t="s">
        <v>1966</v>
      </c>
      <c r="F1011" s="1033" t="s">
        <v>1706</v>
      </c>
      <c r="G1011" s="1034"/>
      <c r="H1011" s="137" t="s">
        <v>412</v>
      </c>
      <c r="I1011" s="136">
        <v>1</v>
      </c>
      <c r="J1011" s="136">
        <v>0.31</v>
      </c>
      <c r="K1011" s="138">
        <f t="shared" si="99"/>
        <v>0.31</v>
      </c>
    </row>
    <row r="1012" spans="1:11">
      <c r="A1012" s="139"/>
      <c r="E1012" s="139"/>
      <c r="F1012" s="139"/>
      <c r="I1012" s="139"/>
      <c r="J1012" s="139"/>
      <c r="K1012" s="140"/>
    </row>
    <row r="1013" spans="1:11">
      <c r="A1013" s="139"/>
      <c r="E1013" s="139"/>
      <c r="F1013" s="139"/>
      <c r="I1013" s="139"/>
      <c r="J1013" s="139"/>
      <c r="K1013" s="140"/>
    </row>
    <row r="1014" spans="1:11" ht="15.75">
      <c r="A1014" s="132" t="s">
        <v>1967</v>
      </c>
      <c r="B1014" s="133" t="s">
        <v>1700</v>
      </c>
      <c r="C1014" s="133" t="s">
        <v>698</v>
      </c>
      <c r="D1014" s="133">
        <v>88262</v>
      </c>
      <c r="E1014" s="134" t="s">
        <v>427</v>
      </c>
      <c r="F1014" s="134" t="s">
        <v>601</v>
      </c>
      <c r="G1014" s="133"/>
      <c r="H1014" s="133" t="s">
        <v>412</v>
      </c>
      <c r="I1014" s="134"/>
      <c r="J1014" s="146"/>
      <c r="K1014" s="135">
        <f>SUM(K1016:K1023)</f>
        <v>32.339999999999996</v>
      </c>
    </row>
    <row r="1015" spans="1:11" ht="50.1" customHeight="1">
      <c r="A1015" s="128"/>
      <c r="B1015" s="129" t="s">
        <v>1691</v>
      </c>
      <c r="C1015" s="129" t="s">
        <v>1692</v>
      </c>
      <c r="D1015" s="129" t="s">
        <v>1693</v>
      </c>
      <c r="E1015" s="130" t="s">
        <v>0</v>
      </c>
      <c r="F1015" s="130" t="s">
        <v>1694</v>
      </c>
      <c r="G1015" s="129"/>
      <c r="H1015" s="129" t="s">
        <v>1695</v>
      </c>
      <c r="I1015" s="130" t="s">
        <v>1696</v>
      </c>
      <c r="J1015" s="130" t="s">
        <v>1697</v>
      </c>
      <c r="K1015" s="131" t="s">
        <v>1698</v>
      </c>
    </row>
    <row r="1016" spans="1:11">
      <c r="A1016" s="136" t="s">
        <v>1208</v>
      </c>
      <c r="B1016" s="137" t="s">
        <v>792</v>
      </c>
      <c r="C1016" s="137" t="s">
        <v>698</v>
      </c>
      <c r="D1016" s="137">
        <v>1213</v>
      </c>
      <c r="E1016" s="136" t="s">
        <v>1968</v>
      </c>
      <c r="F1016" s="1033" t="s">
        <v>1702</v>
      </c>
      <c r="G1016" s="1034"/>
      <c r="H1016" s="137" t="s">
        <v>412</v>
      </c>
      <c r="I1016" s="136">
        <v>1</v>
      </c>
      <c r="J1016" s="136">
        <v>24.62</v>
      </c>
      <c r="K1016" s="138">
        <f>I1016*J1016</f>
        <v>24.62</v>
      </c>
    </row>
    <row r="1017" spans="1:11">
      <c r="A1017" s="136" t="s">
        <v>1208</v>
      </c>
      <c r="B1017" s="137" t="s">
        <v>792</v>
      </c>
      <c r="C1017" s="137" t="s">
        <v>698</v>
      </c>
      <c r="D1017" s="137">
        <v>37370</v>
      </c>
      <c r="E1017" s="136" t="s">
        <v>653</v>
      </c>
      <c r="F1017" s="1033" t="s">
        <v>1703</v>
      </c>
      <c r="G1017" s="1034"/>
      <c r="H1017" s="137" t="s">
        <v>412</v>
      </c>
      <c r="I1017" s="136">
        <v>1</v>
      </c>
      <c r="J1017" s="136">
        <v>3.91</v>
      </c>
      <c r="K1017" s="138">
        <f t="shared" ref="K1017:K1023" si="100">I1017*J1017</f>
        <v>3.91</v>
      </c>
    </row>
    <row r="1018" spans="1:11">
      <c r="A1018" s="136" t="s">
        <v>1208</v>
      </c>
      <c r="B1018" s="137" t="s">
        <v>792</v>
      </c>
      <c r="C1018" s="137" t="s">
        <v>698</v>
      </c>
      <c r="D1018" s="137">
        <v>37371</v>
      </c>
      <c r="E1018" s="136" t="s">
        <v>654</v>
      </c>
      <c r="F1018" s="1033" t="s">
        <v>1889</v>
      </c>
      <c r="G1018" s="1034"/>
      <c r="H1018" s="137" t="s">
        <v>412</v>
      </c>
      <c r="I1018" s="136">
        <v>1</v>
      </c>
      <c r="J1018" s="136">
        <v>1</v>
      </c>
      <c r="K1018" s="138">
        <f t="shared" si="100"/>
        <v>1</v>
      </c>
    </row>
    <row r="1019" spans="1:11">
      <c r="A1019" s="136" t="s">
        <v>1208</v>
      </c>
      <c r="B1019" s="137" t="s">
        <v>792</v>
      </c>
      <c r="C1019" s="137" t="s">
        <v>698</v>
      </c>
      <c r="D1019" s="137">
        <v>37372</v>
      </c>
      <c r="E1019" s="136" t="s">
        <v>655</v>
      </c>
      <c r="F1019" s="1033" t="s">
        <v>1703</v>
      </c>
      <c r="G1019" s="1034"/>
      <c r="H1019" s="137" t="s">
        <v>412</v>
      </c>
      <c r="I1019" s="136">
        <v>1</v>
      </c>
      <c r="J1019" s="136">
        <v>0.81</v>
      </c>
      <c r="K1019" s="138">
        <f t="shared" si="100"/>
        <v>0.81</v>
      </c>
    </row>
    <row r="1020" spans="1:11">
      <c r="A1020" s="136" t="s">
        <v>1208</v>
      </c>
      <c r="B1020" s="137" t="s">
        <v>792</v>
      </c>
      <c r="C1020" s="137" t="s">
        <v>698</v>
      </c>
      <c r="D1020" s="137">
        <v>37373</v>
      </c>
      <c r="E1020" s="136" t="s">
        <v>656</v>
      </c>
      <c r="F1020" s="1033" t="s">
        <v>1890</v>
      </c>
      <c r="G1020" s="1034"/>
      <c r="H1020" s="137" t="s">
        <v>412</v>
      </c>
      <c r="I1020" s="136">
        <v>1</v>
      </c>
      <c r="J1020" s="136">
        <v>0.06</v>
      </c>
      <c r="K1020" s="138">
        <f t="shared" si="100"/>
        <v>0.06</v>
      </c>
    </row>
    <row r="1021" spans="1:11" ht="24.75">
      <c r="A1021" s="136" t="s">
        <v>1208</v>
      </c>
      <c r="B1021" s="137" t="s">
        <v>792</v>
      </c>
      <c r="C1021" s="137" t="s">
        <v>698</v>
      </c>
      <c r="D1021" s="137">
        <v>43459</v>
      </c>
      <c r="E1021" s="136" t="s">
        <v>1964</v>
      </c>
      <c r="F1021" s="1033" t="s">
        <v>1704</v>
      </c>
      <c r="G1021" s="1034"/>
      <c r="H1021" s="137" t="s">
        <v>412</v>
      </c>
      <c r="I1021" s="136">
        <v>1</v>
      </c>
      <c r="J1021" s="136">
        <v>0.45</v>
      </c>
      <c r="K1021" s="138">
        <f t="shared" si="100"/>
        <v>0.45</v>
      </c>
    </row>
    <row r="1022" spans="1:11">
      <c r="A1022" s="136" t="s">
        <v>1208</v>
      </c>
      <c r="B1022" s="137" t="s">
        <v>792</v>
      </c>
      <c r="C1022" s="137" t="s">
        <v>698</v>
      </c>
      <c r="D1022" s="137">
        <v>43483</v>
      </c>
      <c r="E1022" s="136" t="s">
        <v>1965</v>
      </c>
      <c r="F1022" s="1033" t="s">
        <v>1704</v>
      </c>
      <c r="G1022" s="1034"/>
      <c r="H1022" s="137" t="s">
        <v>412</v>
      </c>
      <c r="I1022" s="136">
        <v>1</v>
      </c>
      <c r="J1022" s="136">
        <v>1.26</v>
      </c>
      <c r="K1022" s="138">
        <f t="shared" si="100"/>
        <v>1.26</v>
      </c>
    </row>
    <row r="1023" spans="1:11">
      <c r="A1023" s="136" t="s">
        <v>1208</v>
      </c>
      <c r="B1023" s="137" t="s">
        <v>1705</v>
      </c>
      <c r="C1023" s="137" t="s">
        <v>698</v>
      </c>
      <c r="D1023" s="137">
        <v>95330</v>
      </c>
      <c r="E1023" s="136" t="s">
        <v>1969</v>
      </c>
      <c r="F1023" s="1033" t="s">
        <v>1706</v>
      </c>
      <c r="G1023" s="1034"/>
      <c r="H1023" s="137" t="s">
        <v>412</v>
      </c>
      <c r="I1023" s="136">
        <v>1</v>
      </c>
      <c r="J1023" s="136">
        <v>0.23</v>
      </c>
      <c r="K1023" s="138">
        <f t="shared" si="100"/>
        <v>0.23</v>
      </c>
    </row>
    <row r="1024" spans="1:11">
      <c r="A1024" s="139"/>
      <c r="E1024" s="139"/>
      <c r="F1024" s="139"/>
      <c r="I1024" s="139"/>
      <c r="J1024" s="139"/>
      <c r="K1024" s="140"/>
    </row>
    <row r="1025" spans="1:11">
      <c r="A1025" s="139"/>
      <c r="E1025" s="139"/>
      <c r="F1025" s="139"/>
      <c r="I1025" s="139"/>
      <c r="J1025" s="139"/>
      <c r="K1025" s="140"/>
    </row>
    <row r="1026" spans="1:11" ht="31.5">
      <c r="A1026" s="132" t="s">
        <v>1970</v>
      </c>
      <c r="B1026" s="133" t="s">
        <v>1700</v>
      </c>
      <c r="C1026" s="133" t="s">
        <v>698</v>
      </c>
      <c r="D1026" s="133">
        <v>95313</v>
      </c>
      <c r="E1026" s="134" t="s">
        <v>1892</v>
      </c>
      <c r="F1026" s="134" t="s">
        <v>601</v>
      </c>
      <c r="G1026" s="133"/>
      <c r="H1026" s="133" t="s">
        <v>412</v>
      </c>
      <c r="I1026" s="134"/>
      <c r="J1026" s="146"/>
      <c r="K1026" s="135">
        <f>SUM(K1028)</f>
        <v>0.17521600000000001</v>
      </c>
    </row>
    <row r="1027" spans="1:11" ht="50.1" customHeight="1">
      <c r="A1027" s="128"/>
      <c r="B1027" s="129" t="s">
        <v>1691</v>
      </c>
      <c r="C1027" s="129" t="s">
        <v>1692</v>
      </c>
      <c r="D1027" s="129" t="s">
        <v>1693</v>
      </c>
      <c r="E1027" s="130" t="s">
        <v>0</v>
      </c>
      <c r="F1027" s="130" t="s">
        <v>1694</v>
      </c>
      <c r="G1027" s="129"/>
      <c r="H1027" s="129" t="s">
        <v>1695</v>
      </c>
      <c r="I1027" s="130" t="s">
        <v>1696</v>
      </c>
      <c r="J1027" s="130" t="s">
        <v>1697</v>
      </c>
      <c r="K1027" s="131" t="s">
        <v>1698</v>
      </c>
    </row>
    <row r="1028" spans="1:11">
      <c r="A1028" s="136" t="s">
        <v>1208</v>
      </c>
      <c r="B1028" s="137" t="s">
        <v>792</v>
      </c>
      <c r="C1028" s="137" t="s">
        <v>698</v>
      </c>
      <c r="D1028" s="137">
        <v>242</v>
      </c>
      <c r="E1028" s="136" t="s">
        <v>1888</v>
      </c>
      <c r="F1028" s="1033" t="s">
        <v>1702</v>
      </c>
      <c r="G1028" s="1034"/>
      <c r="H1028" s="137" t="s">
        <v>412</v>
      </c>
      <c r="I1028" s="136">
        <v>9.4000000000000004E-3</v>
      </c>
      <c r="J1028" s="136">
        <v>18.64</v>
      </c>
      <c r="K1028" s="138">
        <f>I1028*J1028</f>
        <v>0.17521600000000001</v>
      </c>
    </row>
    <row r="1029" spans="1:11">
      <c r="A1029" s="139"/>
      <c r="E1029" s="139"/>
      <c r="F1029" s="139"/>
      <c r="I1029" s="139"/>
      <c r="J1029" s="139"/>
      <c r="K1029" s="140"/>
    </row>
    <row r="1030" spans="1:11">
      <c r="A1030" s="139"/>
      <c r="E1030" s="139"/>
      <c r="F1030" s="139"/>
      <c r="I1030" s="139"/>
      <c r="J1030" s="139"/>
      <c r="K1030" s="140"/>
    </row>
    <row r="1031" spans="1:11" ht="31.5">
      <c r="A1031" s="132" t="s">
        <v>1971</v>
      </c>
      <c r="B1031" s="133" t="s">
        <v>1700</v>
      </c>
      <c r="C1031" s="133" t="s">
        <v>698</v>
      </c>
      <c r="D1031" s="133">
        <v>95316</v>
      </c>
      <c r="E1031" s="134" t="s">
        <v>659</v>
      </c>
      <c r="F1031" s="134" t="s">
        <v>601</v>
      </c>
      <c r="G1031" s="133"/>
      <c r="H1031" s="133" t="s">
        <v>412</v>
      </c>
      <c r="I1031" s="134"/>
      <c r="J1031" s="146"/>
      <c r="K1031" s="135">
        <f>SUM(K1033)</f>
        <v>0.56685399999999997</v>
      </c>
    </row>
    <row r="1032" spans="1:11" ht="50.1" customHeight="1">
      <c r="A1032" s="128"/>
      <c r="B1032" s="129" t="s">
        <v>1691</v>
      </c>
      <c r="C1032" s="129" t="s">
        <v>1692</v>
      </c>
      <c r="D1032" s="129" t="s">
        <v>1693</v>
      </c>
      <c r="E1032" s="130" t="s">
        <v>0</v>
      </c>
      <c r="F1032" s="130" t="s">
        <v>1694</v>
      </c>
      <c r="G1032" s="129"/>
      <c r="H1032" s="129" t="s">
        <v>1695</v>
      </c>
      <c r="I1032" s="130" t="s">
        <v>1696</v>
      </c>
      <c r="J1032" s="130" t="s">
        <v>1697</v>
      </c>
      <c r="K1032" s="131" t="s">
        <v>1698</v>
      </c>
    </row>
    <row r="1033" spans="1:11">
      <c r="A1033" s="136" t="s">
        <v>1208</v>
      </c>
      <c r="B1033" s="137" t="s">
        <v>792</v>
      </c>
      <c r="C1033" s="137" t="s">
        <v>698</v>
      </c>
      <c r="D1033" s="137">
        <v>247</v>
      </c>
      <c r="E1033" s="136" t="s">
        <v>1913</v>
      </c>
      <c r="F1033" s="1033" t="s">
        <v>1702</v>
      </c>
      <c r="G1033" s="1034"/>
      <c r="H1033" s="137" t="s">
        <v>412</v>
      </c>
      <c r="I1033" s="136">
        <v>3.0200000000000001E-2</v>
      </c>
      <c r="J1033" s="136">
        <v>18.77</v>
      </c>
      <c r="K1033" s="138">
        <f>I1033*J1033</f>
        <v>0.56685399999999997</v>
      </c>
    </row>
    <row r="1034" spans="1:11">
      <c r="A1034" s="139"/>
      <c r="E1034" s="139"/>
      <c r="F1034" s="139"/>
      <c r="I1034" s="139"/>
      <c r="J1034" s="139"/>
      <c r="K1034" s="140"/>
    </row>
    <row r="1035" spans="1:11">
      <c r="A1035" s="139"/>
      <c r="E1035" s="139"/>
      <c r="F1035" s="139"/>
      <c r="I1035" s="139"/>
      <c r="J1035" s="139"/>
      <c r="K1035" s="140"/>
    </row>
    <row r="1036" spans="1:11" ht="31.5">
      <c r="A1036" s="132" t="s">
        <v>1972</v>
      </c>
      <c r="B1036" s="133" t="s">
        <v>1700</v>
      </c>
      <c r="C1036" s="133" t="s">
        <v>698</v>
      </c>
      <c r="D1036" s="133">
        <v>95317</v>
      </c>
      <c r="E1036" s="134" t="s">
        <v>661</v>
      </c>
      <c r="F1036" s="134" t="s">
        <v>601</v>
      </c>
      <c r="G1036" s="133"/>
      <c r="H1036" s="133" t="s">
        <v>412</v>
      </c>
      <c r="I1036" s="134"/>
      <c r="J1036" s="146"/>
      <c r="K1036" s="135">
        <f>SUM(K1038)</f>
        <v>0.274918</v>
      </c>
    </row>
    <row r="1037" spans="1:11" ht="50.1" customHeight="1">
      <c r="A1037" s="128"/>
      <c r="B1037" s="129" t="s">
        <v>1691</v>
      </c>
      <c r="C1037" s="129" t="s">
        <v>1692</v>
      </c>
      <c r="D1037" s="129" t="s">
        <v>1693</v>
      </c>
      <c r="E1037" s="130" t="s">
        <v>0</v>
      </c>
      <c r="F1037" s="130" t="s">
        <v>1694</v>
      </c>
      <c r="G1037" s="129"/>
      <c r="H1037" s="129" t="s">
        <v>1695</v>
      </c>
      <c r="I1037" s="130" t="s">
        <v>1696</v>
      </c>
      <c r="J1037" s="130" t="s">
        <v>1697</v>
      </c>
      <c r="K1037" s="131" t="s">
        <v>1698</v>
      </c>
    </row>
    <row r="1038" spans="1:11">
      <c r="A1038" s="136" t="s">
        <v>1208</v>
      </c>
      <c r="B1038" s="137" t="s">
        <v>792</v>
      </c>
      <c r="C1038" s="137" t="s">
        <v>698</v>
      </c>
      <c r="D1038" s="137">
        <v>246</v>
      </c>
      <c r="E1038" s="136" t="s">
        <v>1916</v>
      </c>
      <c r="F1038" s="1033" t="s">
        <v>1702</v>
      </c>
      <c r="G1038" s="1034"/>
      <c r="H1038" s="137" t="s">
        <v>412</v>
      </c>
      <c r="I1038" s="136">
        <v>1.46E-2</v>
      </c>
      <c r="J1038" s="136">
        <v>18.829999999999998</v>
      </c>
      <c r="K1038" s="138">
        <f>J1038*I1038</f>
        <v>0.274918</v>
      </c>
    </row>
    <row r="1039" spans="1:11">
      <c r="A1039" s="139"/>
      <c r="E1039" s="139"/>
      <c r="F1039" s="139"/>
      <c r="I1039" s="139"/>
      <c r="J1039" s="139"/>
      <c r="K1039" s="140"/>
    </row>
    <row r="1040" spans="1:11">
      <c r="A1040" s="139"/>
      <c r="E1040" s="139"/>
      <c r="F1040" s="139"/>
      <c r="I1040" s="139"/>
      <c r="J1040" s="139"/>
      <c r="K1040" s="140"/>
    </row>
    <row r="1041" spans="1:11" ht="31.5">
      <c r="A1041" s="132" t="s">
        <v>1973</v>
      </c>
      <c r="B1041" s="133" t="s">
        <v>1700</v>
      </c>
      <c r="C1041" s="133" t="s">
        <v>698</v>
      </c>
      <c r="D1041" s="133">
        <v>95324</v>
      </c>
      <c r="E1041" s="134" t="s">
        <v>1922</v>
      </c>
      <c r="F1041" s="134" t="s">
        <v>601</v>
      </c>
      <c r="G1041" s="133"/>
      <c r="H1041" s="133" t="s">
        <v>412</v>
      </c>
      <c r="I1041" s="134"/>
      <c r="J1041" s="146"/>
      <c r="K1041" s="135">
        <f>SUM(K1043)</f>
        <v>0.31931999999999999</v>
      </c>
    </row>
    <row r="1042" spans="1:11" ht="50.1" customHeight="1">
      <c r="A1042" s="128"/>
      <c r="B1042" s="129" t="s">
        <v>1691</v>
      </c>
      <c r="C1042" s="129" t="s">
        <v>1692</v>
      </c>
      <c r="D1042" s="129" t="s">
        <v>1693</v>
      </c>
      <c r="E1042" s="130" t="s">
        <v>0</v>
      </c>
      <c r="F1042" s="130" t="s">
        <v>1694</v>
      </c>
      <c r="G1042" s="129"/>
      <c r="H1042" s="129" t="s">
        <v>1695</v>
      </c>
      <c r="I1042" s="130" t="s">
        <v>1696</v>
      </c>
      <c r="J1042" s="130" t="s">
        <v>1697</v>
      </c>
      <c r="K1042" s="131" t="s">
        <v>1698</v>
      </c>
    </row>
    <row r="1043" spans="1:11">
      <c r="A1043" s="136" t="s">
        <v>1208</v>
      </c>
      <c r="B1043" s="137" t="s">
        <v>792</v>
      </c>
      <c r="C1043" s="137" t="s">
        <v>698</v>
      </c>
      <c r="D1043" s="137">
        <v>4760</v>
      </c>
      <c r="E1043" s="136" t="s">
        <v>1919</v>
      </c>
      <c r="F1043" s="1033" t="s">
        <v>1702</v>
      </c>
      <c r="G1043" s="1034"/>
      <c r="H1043" s="137" t="s">
        <v>412</v>
      </c>
      <c r="I1043" s="136">
        <v>1.2E-2</v>
      </c>
      <c r="J1043" s="136">
        <v>26.61</v>
      </c>
      <c r="K1043" s="138">
        <f>J1043*I1043</f>
        <v>0.31931999999999999</v>
      </c>
    </row>
    <row r="1044" spans="1:11">
      <c r="A1044" s="139"/>
      <c r="E1044" s="139"/>
      <c r="F1044" s="139"/>
      <c r="I1044" s="139"/>
      <c r="J1044" s="139"/>
      <c r="K1044" s="140"/>
    </row>
    <row r="1045" spans="1:11">
      <c r="A1045" s="139"/>
      <c r="E1045" s="139"/>
      <c r="F1045" s="139"/>
      <c r="I1045" s="139"/>
      <c r="J1045" s="139"/>
      <c r="K1045" s="140"/>
    </row>
    <row r="1046" spans="1:11" ht="31.5">
      <c r="A1046" s="132" t="s">
        <v>1974</v>
      </c>
      <c r="B1046" s="133" t="s">
        <v>1700</v>
      </c>
      <c r="C1046" s="133" t="s">
        <v>698</v>
      </c>
      <c r="D1046" s="133">
        <v>95329</v>
      </c>
      <c r="E1046" s="134" t="s">
        <v>1966</v>
      </c>
      <c r="F1046" s="134" t="s">
        <v>601</v>
      </c>
      <c r="G1046" s="133"/>
      <c r="H1046" s="133" t="s">
        <v>412</v>
      </c>
      <c r="I1046" s="134"/>
      <c r="J1046" s="146"/>
      <c r="K1046" s="135">
        <f>SUM(K1048)</f>
        <v>0.31775999999999999</v>
      </c>
    </row>
    <row r="1047" spans="1:11" ht="50.1" customHeight="1">
      <c r="A1047" s="128"/>
      <c r="B1047" s="129" t="s">
        <v>1691</v>
      </c>
      <c r="C1047" s="129" t="s">
        <v>1692</v>
      </c>
      <c r="D1047" s="129" t="s">
        <v>1693</v>
      </c>
      <c r="E1047" s="130" t="s">
        <v>0</v>
      </c>
      <c r="F1047" s="130" t="s">
        <v>1694</v>
      </c>
      <c r="G1047" s="129"/>
      <c r="H1047" s="129" t="s">
        <v>1695</v>
      </c>
      <c r="I1047" s="130" t="s">
        <v>1696</v>
      </c>
      <c r="J1047" s="130" t="s">
        <v>1697</v>
      </c>
      <c r="K1047" s="131" t="s">
        <v>1698</v>
      </c>
    </row>
    <row r="1048" spans="1:11">
      <c r="A1048" s="136" t="s">
        <v>1208</v>
      </c>
      <c r="B1048" s="137" t="s">
        <v>792</v>
      </c>
      <c r="C1048" s="137" t="s">
        <v>698</v>
      </c>
      <c r="D1048" s="137">
        <v>1214</v>
      </c>
      <c r="E1048" s="136" t="s">
        <v>1963</v>
      </c>
      <c r="F1048" s="1033" t="s">
        <v>1702</v>
      </c>
      <c r="G1048" s="1034"/>
      <c r="H1048" s="137" t="s">
        <v>412</v>
      </c>
      <c r="I1048" s="136">
        <v>1.2E-2</v>
      </c>
      <c r="J1048" s="136">
        <v>26.48</v>
      </c>
      <c r="K1048" s="138">
        <f>I1048*J1048</f>
        <v>0.31775999999999999</v>
      </c>
    </row>
    <row r="1049" spans="1:11">
      <c r="A1049" s="139"/>
      <c r="E1049" s="139"/>
      <c r="F1049" s="139"/>
      <c r="I1049" s="139"/>
      <c r="J1049" s="139"/>
      <c r="K1049" s="140"/>
    </row>
    <row r="1050" spans="1:11">
      <c r="A1050" s="139"/>
      <c r="E1050" s="139"/>
      <c r="F1050" s="139"/>
      <c r="I1050" s="139"/>
      <c r="J1050" s="139"/>
      <c r="K1050" s="140"/>
    </row>
    <row r="1051" spans="1:11" ht="31.5">
      <c r="A1051" s="132" t="s">
        <v>1975</v>
      </c>
      <c r="B1051" s="133" t="s">
        <v>1700</v>
      </c>
      <c r="C1051" s="133" t="s">
        <v>698</v>
      </c>
      <c r="D1051" s="133">
        <v>95330</v>
      </c>
      <c r="E1051" s="134" t="s">
        <v>1969</v>
      </c>
      <c r="F1051" s="134" t="s">
        <v>601</v>
      </c>
      <c r="G1051" s="133"/>
      <c r="H1051" s="133" t="s">
        <v>412</v>
      </c>
      <c r="I1051" s="134"/>
      <c r="J1051" s="146"/>
      <c r="K1051" s="135">
        <f>SUM(K1053)</f>
        <v>0.23142800000000002</v>
      </c>
    </row>
    <row r="1052" spans="1:11" ht="50.1" customHeight="1">
      <c r="A1052" s="128"/>
      <c r="B1052" s="129" t="s">
        <v>1691</v>
      </c>
      <c r="C1052" s="129" t="s">
        <v>1692</v>
      </c>
      <c r="D1052" s="129" t="s">
        <v>1693</v>
      </c>
      <c r="E1052" s="130" t="s">
        <v>0</v>
      </c>
      <c r="F1052" s="130" t="s">
        <v>1694</v>
      </c>
      <c r="G1052" s="129"/>
      <c r="H1052" s="129" t="s">
        <v>1695</v>
      </c>
      <c r="I1052" s="130" t="s">
        <v>1696</v>
      </c>
      <c r="J1052" s="130" t="s">
        <v>1697</v>
      </c>
      <c r="K1052" s="131" t="s">
        <v>1698</v>
      </c>
    </row>
    <row r="1053" spans="1:11">
      <c r="A1053" s="136" t="s">
        <v>1208</v>
      </c>
      <c r="B1053" s="137" t="s">
        <v>792</v>
      </c>
      <c r="C1053" s="137" t="s">
        <v>698</v>
      </c>
      <c r="D1053" s="137">
        <v>1213</v>
      </c>
      <c r="E1053" s="136" t="s">
        <v>1968</v>
      </c>
      <c r="F1053" s="1033" t="s">
        <v>1702</v>
      </c>
      <c r="G1053" s="1034"/>
      <c r="H1053" s="137" t="s">
        <v>412</v>
      </c>
      <c r="I1053" s="136">
        <v>9.4000000000000004E-3</v>
      </c>
      <c r="J1053" s="136">
        <v>24.62</v>
      </c>
      <c r="K1053" s="138">
        <f>J1053*I1053</f>
        <v>0.23142800000000002</v>
      </c>
    </row>
    <row r="1054" spans="1:11">
      <c r="A1054" s="139"/>
      <c r="E1054" s="139"/>
      <c r="F1054" s="139"/>
      <c r="I1054" s="139"/>
      <c r="J1054" s="139"/>
      <c r="K1054" s="140"/>
    </row>
    <row r="1055" spans="1:11">
      <c r="A1055" s="139"/>
      <c r="E1055" s="139"/>
      <c r="F1055" s="139"/>
      <c r="I1055" s="139"/>
      <c r="J1055" s="139"/>
      <c r="K1055" s="140"/>
    </row>
    <row r="1056" spans="1:11" ht="31.5">
      <c r="A1056" s="132" t="s">
        <v>1976</v>
      </c>
      <c r="B1056" s="133" t="s">
        <v>1700</v>
      </c>
      <c r="C1056" s="133" t="s">
        <v>698</v>
      </c>
      <c r="D1056" s="133">
        <v>95332</v>
      </c>
      <c r="E1056" s="134" t="s">
        <v>662</v>
      </c>
      <c r="F1056" s="134" t="s">
        <v>601</v>
      </c>
      <c r="G1056" s="133"/>
      <c r="H1056" s="133" t="s">
        <v>412</v>
      </c>
      <c r="I1056" s="134"/>
      <c r="J1056" s="146"/>
      <c r="K1056" s="135">
        <f>SUM(K1058)</f>
        <v>0.74352400000000007</v>
      </c>
    </row>
    <row r="1057" spans="1:11" ht="50.1" customHeight="1">
      <c r="A1057" s="128"/>
      <c r="B1057" s="129" t="s">
        <v>1691</v>
      </c>
      <c r="C1057" s="129" t="s">
        <v>1692</v>
      </c>
      <c r="D1057" s="129" t="s">
        <v>1693</v>
      </c>
      <c r="E1057" s="130" t="s">
        <v>0</v>
      </c>
      <c r="F1057" s="130" t="s">
        <v>1694</v>
      </c>
      <c r="G1057" s="129"/>
      <c r="H1057" s="129" t="s">
        <v>1695</v>
      </c>
      <c r="I1057" s="130" t="s">
        <v>1696</v>
      </c>
      <c r="J1057" s="130" t="s">
        <v>1697</v>
      </c>
      <c r="K1057" s="131" t="s">
        <v>1698</v>
      </c>
    </row>
    <row r="1058" spans="1:11">
      <c r="A1058" s="136" t="s">
        <v>1208</v>
      </c>
      <c r="B1058" s="137" t="s">
        <v>792</v>
      </c>
      <c r="C1058" s="137" t="s">
        <v>698</v>
      </c>
      <c r="D1058" s="137">
        <v>2436</v>
      </c>
      <c r="E1058" s="136" t="s">
        <v>1977</v>
      </c>
      <c r="F1058" s="1033" t="s">
        <v>1702</v>
      </c>
      <c r="G1058" s="1034"/>
      <c r="H1058" s="137" t="s">
        <v>412</v>
      </c>
      <c r="I1058" s="136">
        <v>3.0200000000000001E-2</v>
      </c>
      <c r="J1058" s="136">
        <v>24.62</v>
      </c>
      <c r="K1058" s="138">
        <f>J1058*I1058</f>
        <v>0.74352400000000007</v>
      </c>
    </row>
    <row r="1059" spans="1:11">
      <c r="A1059" s="139"/>
      <c r="E1059" s="139"/>
      <c r="F1059" s="139"/>
      <c r="I1059" s="139"/>
      <c r="J1059" s="139"/>
      <c r="K1059" s="140"/>
    </row>
    <row r="1060" spans="1:11">
      <c r="A1060" s="139"/>
      <c r="E1060" s="139"/>
      <c r="F1060" s="139"/>
      <c r="I1060" s="139"/>
      <c r="J1060" s="139"/>
      <c r="K1060" s="140"/>
    </row>
    <row r="1061" spans="1:11" ht="31.5">
      <c r="A1061" s="132" t="s">
        <v>1978</v>
      </c>
      <c r="B1061" s="133" t="s">
        <v>1700</v>
      </c>
      <c r="C1061" s="133" t="s">
        <v>698</v>
      </c>
      <c r="D1061" s="133">
        <v>95335</v>
      </c>
      <c r="E1061" s="134" t="s">
        <v>663</v>
      </c>
      <c r="F1061" s="134" t="s">
        <v>601</v>
      </c>
      <c r="G1061" s="133"/>
      <c r="H1061" s="133" t="s">
        <v>412</v>
      </c>
      <c r="I1061" s="134"/>
      <c r="J1061" s="134"/>
      <c r="K1061" s="135">
        <f>K1063</f>
        <v>0.36105799999999999</v>
      </c>
    </row>
    <row r="1062" spans="1:11" ht="50.1" customHeight="1">
      <c r="A1062" s="128"/>
      <c r="B1062" s="129" t="s">
        <v>1691</v>
      </c>
      <c r="C1062" s="129" t="s">
        <v>1692</v>
      </c>
      <c r="D1062" s="129" t="s">
        <v>1693</v>
      </c>
      <c r="E1062" s="130" t="s">
        <v>0</v>
      </c>
      <c r="F1062" s="130" t="s">
        <v>1694</v>
      </c>
      <c r="G1062" s="129"/>
      <c r="H1062" s="129" t="s">
        <v>1695</v>
      </c>
      <c r="I1062" s="130" t="s">
        <v>1696</v>
      </c>
      <c r="J1062" s="130" t="s">
        <v>1697</v>
      </c>
      <c r="K1062" s="131" t="s">
        <v>1698</v>
      </c>
    </row>
    <row r="1063" spans="1:11">
      <c r="A1063" s="136" t="s">
        <v>1208</v>
      </c>
      <c r="B1063" s="137" t="s">
        <v>792</v>
      </c>
      <c r="C1063" s="137" t="s">
        <v>698</v>
      </c>
      <c r="D1063" s="137">
        <v>2696</v>
      </c>
      <c r="E1063" s="136" t="s">
        <v>1979</v>
      </c>
      <c r="F1063" s="1033" t="s">
        <v>1702</v>
      </c>
      <c r="G1063" s="1034"/>
      <c r="H1063" s="137" t="s">
        <v>412</v>
      </c>
      <c r="I1063" s="136">
        <v>1.46E-2</v>
      </c>
      <c r="J1063" s="136">
        <v>24.73</v>
      </c>
      <c r="K1063" s="138">
        <f>I1063*J1063</f>
        <v>0.36105799999999999</v>
      </c>
    </row>
    <row r="1064" spans="1:11">
      <c r="A1064" s="139"/>
      <c r="E1064" s="139"/>
      <c r="F1064" s="139"/>
      <c r="I1064" s="139"/>
      <c r="J1064" s="139"/>
      <c r="K1064" s="140"/>
    </row>
    <row r="1065" spans="1:11">
      <c r="A1065" s="139"/>
      <c r="E1065" s="139"/>
      <c r="F1065" s="139"/>
      <c r="I1065" s="139"/>
      <c r="J1065" s="139"/>
      <c r="K1065" s="140"/>
    </row>
    <row r="1066" spans="1:11" ht="31.5">
      <c r="A1066" s="132" t="s">
        <v>1980</v>
      </c>
      <c r="B1066" s="133" t="s">
        <v>1700</v>
      </c>
      <c r="C1066" s="133" t="s">
        <v>698</v>
      </c>
      <c r="D1066" s="133">
        <v>95417</v>
      </c>
      <c r="E1066" s="134" t="s">
        <v>675</v>
      </c>
      <c r="F1066" s="134" t="s">
        <v>601</v>
      </c>
      <c r="G1066" s="133"/>
      <c r="H1066" s="133" t="s">
        <v>447</v>
      </c>
      <c r="I1066" s="134"/>
      <c r="J1066" s="146"/>
      <c r="K1066" s="135">
        <f>SUM(K1068)</f>
        <v>193.86485300000004</v>
      </c>
    </row>
    <row r="1067" spans="1:11" ht="50.1" customHeight="1">
      <c r="A1067" s="128"/>
      <c r="B1067" s="129" t="s">
        <v>1691</v>
      </c>
      <c r="C1067" s="129" t="s">
        <v>1692</v>
      </c>
      <c r="D1067" s="129" t="s">
        <v>1693</v>
      </c>
      <c r="E1067" s="130" t="s">
        <v>0</v>
      </c>
      <c r="F1067" s="130" t="s">
        <v>1694</v>
      </c>
      <c r="G1067" s="129"/>
      <c r="H1067" s="129" t="s">
        <v>1695</v>
      </c>
      <c r="I1067" s="130" t="s">
        <v>1696</v>
      </c>
      <c r="J1067" s="130" t="s">
        <v>1697</v>
      </c>
      <c r="K1067" s="131" t="s">
        <v>1698</v>
      </c>
    </row>
    <row r="1068" spans="1:11">
      <c r="A1068" s="136" t="s">
        <v>1208</v>
      </c>
      <c r="B1068" s="137" t="s">
        <v>792</v>
      </c>
      <c r="C1068" s="137" t="s">
        <v>698</v>
      </c>
      <c r="D1068" s="137">
        <v>40813</v>
      </c>
      <c r="E1068" s="136" t="s">
        <v>1701</v>
      </c>
      <c r="F1068" s="1033" t="s">
        <v>1702</v>
      </c>
      <c r="G1068" s="1034"/>
      <c r="H1068" s="137" t="s">
        <v>447</v>
      </c>
      <c r="I1068" s="136">
        <v>9.1000000000000004E-3</v>
      </c>
      <c r="J1068" s="136">
        <v>21303.83</v>
      </c>
      <c r="K1068" s="138">
        <f>I1068*J1068</f>
        <v>193.86485300000004</v>
      </c>
    </row>
    <row r="1069" spans="1:11">
      <c r="A1069" s="139"/>
      <c r="E1069" s="139"/>
      <c r="F1069" s="139"/>
      <c r="I1069" s="139"/>
      <c r="J1069" s="139"/>
      <c r="K1069" s="140"/>
    </row>
    <row r="1070" spans="1:11">
      <c r="A1070" s="139"/>
      <c r="E1070" s="139"/>
      <c r="F1070" s="139"/>
      <c r="I1070" s="139"/>
      <c r="J1070" s="139"/>
      <c r="K1070" s="140"/>
    </row>
    <row r="1071" spans="1:11" ht="31.5">
      <c r="A1071" s="132" t="s">
        <v>1981</v>
      </c>
      <c r="B1071" s="133" t="s">
        <v>1700</v>
      </c>
      <c r="C1071" s="133" t="s">
        <v>698</v>
      </c>
      <c r="D1071" s="133">
        <v>101318</v>
      </c>
      <c r="E1071" s="134" t="s">
        <v>1710</v>
      </c>
      <c r="F1071" s="134" t="s">
        <v>601</v>
      </c>
      <c r="G1071" s="133"/>
      <c r="H1071" s="133" t="s">
        <v>447</v>
      </c>
      <c r="I1071" s="134"/>
      <c r="J1071" s="146"/>
      <c r="K1071" s="135">
        <f>SUM(K1073)</f>
        <v>397.02</v>
      </c>
    </row>
    <row r="1072" spans="1:11" ht="50.1" customHeight="1">
      <c r="A1072" s="128"/>
      <c r="B1072" s="129" t="s">
        <v>1691</v>
      </c>
      <c r="C1072" s="129" t="s">
        <v>1692</v>
      </c>
      <c r="D1072" s="129" t="s">
        <v>1693</v>
      </c>
      <c r="E1072" s="130" t="s">
        <v>0</v>
      </c>
      <c r="F1072" s="130" t="s">
        <v>1694</v>
      </c>
      <c r="G1072" s="129"/>
      <c r="H1072" s="129" t="s">
        <v>1695</v>
      </c>
      <c r="I1072" s="130" t="s">
        <v>1696</v>
      </c>
      <c r="J1072" s="130" t="s">
        <v>1697</v>
      </c>
      <c r="K1072" s="131" t="s">
        <v>1698</v>
      </c>
    </row>
    <row r="1073" spans="1:11">
      <c r="A1073" s="136" t="s">
        <v>1208</v>
      </c>
      <c r="B1073" s="137" t="s">
        <v>792</v>
      </c>
      <c r="C1073" s="137" t="s">
        <v>698</v>
      </c>
      <c r="D1073" s="137">
        <v>40939</v>
      </c>
      <c r="E1073" s="136" t="s">
        <v>1709</v>
      </c>
      <c r="F1073" s="1033" t="s">
        <v>1702</v>
      </c>
      <c r="G1073" s="1034"/>
      <c r="H1073" s="137" t="s">
        <v>447</v>
      </c>
      <c r="I1073" s="136">
        <v>2.1000000000000001E-2</v>
      </c>
      <c r="J1073" s="136">
        <v>18906.080000000002</v>
      </c>
      <c r="K1073" s="138">
        <v>397.02</v>
      </c>
    </row>
    <row r="1074" spans="1:11">
      <c r="A1074" s="139"/>
      <c r="E1074" s="139"/>
      <c r="F1074" s="139"/>
      <c r="I1074" s="139"/>
      <c r="J1074" s="139"/>
      <c r="K1074" s="140"/>
    </row>
    <row r="1075" spans="1:11">
      <c r="A1075" s="139"/>
      <c r="E1075" s="139"/>
      <c r="F1075" s="139"/>
      <c r="I1075" s="139"/>
      <c r="J1075" s="139"/>
      <c r="K1075" s="140"/>
    </row>
    <row r="1076" spans="1:11" ht="31.5">
      <c r="A1076" s="132" t="s">
        <v>1982</v>
      </c>
      <c r="B1076" s="133" t="s">
        <v>1700</v>
      </c>
      <c r="C1076" s="133" t="s">
        <v>698</v>
      </c>
      <c r="D1076" s="133">
        <v>95337</v>
      </c>
      <c r="E1076" s="134" t="s">
        <v>1983</v>
      </c>
      <c r="F1076" s="134" t="s">
        <v>601</v>
      </c>
      <c r="G1076" s="133"/>
      <c r="H1076" s="133" t="s">
        <v>412</v>
      </c>
      <c r="I1076" s="134"/>
      <c r="J1076" s="146"/>
      <c r="K1076" s="135">
        <f>SUM(K1078)</f>
        <v>0.225412</v>
      </c>
    </row>
    <row r="1077" spans="1:11" ht="50.1" customHeight="1">
      <c r="A1077" s="128"/>
      <c r="B1077" s="129" t="s">
        <v>1691</v>
      </c>
      <c r="C1077" s="129" t="s">
        <v>1692</v>
      </c>
      <c r="D1077" s="129" t="s">
        <v>1693</v>
      </c>
      <c r="E1077" s="130" t="s">
        <v>0</v>
      </c>
      <c r="F1077" s="130" t="s">
        <v>1694</v>
      </c>
      <c r="G1077" s="129"/>
      <c r="H1077" s="129" t="s">
        <v>1695</v>
      </c>
      <c r="I1077" s="130" t="s">
        <v>1696</v>
      </c>
      <c r="J1077" s="130" t="s">
        <v>1697</v>
      </c>
      <c r="K1077" s="131" t="s">
        <v>1698</v>
      </c>
    </row>
    <row r="1078" spans="1:11">
      <c r="A1078" s="136" t="s">
        <v>1208</v>
      </c>
      <c r="B1078" s="137" t="s">
        <v>792</v>
      </c>
      <c r="C1078" s="137" t="s">
        <v>698</v>
      </c>
      <c r="D1078" s="137">
        <v>12872</v>
      </c>
      <c r="E1078" s="136" t="s">
        <v>1984</v>
      </c>
      <c r="F1078" s="1033" t="s">
        <v>1702</v>
      </c>
      <c r="G1078" s="1034"/>
      <c r="H1078" s="137" t="s">
        <v>412</v>
      </c>
      <c r="I1078" s="136">
        <v>9.4000000000000004E-3</v>
      </c>
      <c r="J1078" s="136">
        <v>23.98</v>
      </c>
      <c r="K1078" s="138">
        <f>I1078*J1078</f>
        <v>0.225412</v>
      </c>
    </row>
    <row r="1079" spans="1:11">
      <c r="A1079" s="139"/>
      <c r="E1079" s="139"/>
      <c r="F1079" s="139"/>
      <c r="I1079" s="139"/>
      <c r="J1079" s="139"/>
      <c r="K1079" s="140"/>
    </row>
    <row r="1080" spans="1:11">
      <c r="A1080" s="139"/>
      <c r="E1080" s="139"/>
      <c r="F1080" s="139"/>
      <c r="I1080" s="139"/>
      <c r="J1080" s="139"/>
      <c r="K1080" s="140"/>
    </row>
    <row r="1081" spans="1:11" ht="31.5">
      <c r="A1081" s="132" t="s">
        <v>1985</v>
      </c>
      <c r="B1081" s="133" t="s">
        <v>1700</v>
      </c>
      <c r="C1081" s="133" t="s">
        <v>698</v>
      </c>
      <c r="D1081" s="133">
        <v>95338</v>
      </c>
      <c r="E1081" s="134" t="s">
        <v>1986</v>
      </c>
      <c r="F1081" s="134" t="s">
        <v>601</v>
      </c>
      <c r="G1081" s="133"/>
      <c r="H1081" s="133" t="s">
        <v>412</v>
      </c>
      <c r="I1081" s="134"/>
      <c r="J1081" s="146"/>
      <c r="K1081" s="135">
        <f>SUM(K1083)</f>
        <v>0.42535600000000001</v>
      </c>
    </row>
    <row r="1082" spans="1:11" ht="50.1" customHeight="1">
      <c r="A1082" s="128"/>
      <c r="B1082" s="129" t="s">
        <v>1691</v>
      </c>
      <c r="C1082" s="129" t="s">
        <v>1692</v>
      </c>
      <c r="D1082" s="129" t="s">
        <v>1693</v>
      </c>
      <c r="E1082" s="130" t="s">
        <v>0</v>
      </c>
      <c r="F1082" s="130" t="s">
        <v>1694</v>
      </c>
      <c r="G1082" s="129"/>
      <c r="H1082" s="129" t="s">
        <v>1695</v>
      </c>
      <c r="I1082" s="130" t="s">
        <v>1696</v>
      </c>
      <c r="J1082" s="130" t="s">
        <v>1697</v>
      </c>
      <c r="K1082" s="131" t="s">
        <v>1698</v>
      </c>
    </row>
    <row r="1083" spans="1:11">
      <c r="A1083" s="136" t="s">
        <v>1208</v>
      </c>
      <c r="B1083" s="137" t="s">
        <v>792</v>
      </c>
      <c r="C1083" s="137" t="s">
        <v>698</v>
      </c>
      <c r="D1083" s="137">
        <v>12873</v>
      </c>
      <c r="E1083" s="136" t="s">
        <v>1987</v>
      </c>
      <c r="F1083" s="1033" t="s">
        <v>1702</v>
      </c>
      <c r="G1083" s="1034"/>
      <c r="H1083" s="137" t="s">
        <v>412</v>
      </c>
      <c r="I1083" s="136">
        <v>1.72E-2</v>
      </c>
      <c r="J1083" s="136">
        <v>24.73</v>
      </c>
      <c r="K1083" s="138">
        <f>I1083*J1083</f>
        <v>0.42535600000000001</v>
      </c>
    </row>
    <row r="1084" spans="1:11">
      <c r="A1084" s="139"/>
      <c r="E1084" s="139"/>
      <c r="F1084" s="139"/>
      <c r="I1084" s="139"/>
      <c r="J1084" s="139"/>
      <c r="K1084" s="140"/>
    </row>
    <row r="1085" spans="1:11">
      <c r="A1085" s="139"/>
      <c r="E1085" s="139"/>
      <c r="F1085" s="139"/>
      <c r="I1085" s="139"/>
      <c r="J1085" s="139"/>
      <c r="K1085" s="140"/>
    </row>
    <row r="1086" spans="1:11" ht="31.5">
      <c r="A1086" s="132" t="s">
        <v>1988</v>
      </c>
      <c r="B1086" s="133" t="s">
        <v>1700</v>
      </c>
      <c r="C1086" s="133" t="s">
        <v>698</v>
      </c>
      <c r="D1086" s="133">
        <v>95341</v>
      </c>
      <c r="E1086" s="134" t="s">
        <v>1989</v>
      </c>
      <c r="F1086" s="134" t="s">
        <v>601</v>
      </c>
      <c r="G1086" s="133"/>
      <c r="H1086" s="133" t="s">
        <v>412</v>
      </c>
      <c r="I1086" s="134"/>
      <c r="J1086" s="146"/>
      <c r="K1086" s="135">
        <f>SUM(K1088)</f>
        <v>0.22908000000000001</v>
      </c>
    </row>
    <row r="1087" spans="1:11" ht="50.1" customHeight="1">
      <c r="A1087" s="128"/>
      <c r="B1087" s="129" t="s">
        <v>1691</v>
      </c>
      <c r="C1087" s="129" t="s">
        <v>1692</v>
      </c>
      <c r="D1087" s="129" t="s">
        <v>1693</v>
      </c>
      <c r="E1087" s="130" t="s">
        <v>0</v>
      </c>
      <c r="F1087" s="130" t="s">
        <v>1694</v>
      </c>
      <c r="G1087" s="129"/>
      <c r="H1087" s="129" t="s">
        <v>1695</v>
      </c>
      <c r="I1087" s="130" t="s">
        <v>1696</v>
      </c>
      <c r="J1087" s="130"/>
      <c r="K1087" s="131" t="s">
        <v>1698</v>
      </c>
    </row>
    <row r="1088" spans="1:11">
      <c r="A1088" s="136" t="s">
        <v>1208</v>
      </c>
      <c r="B1088" s="137" t="s">
        <v>792</v>
      </c>
      <c r="C1088" s="137" t="s">
        <v>698</v>
      </c>
      <c r="D1088" s="137">
        <v>4755</v>
      </c>
      <c r="E1088" s="136" t="s">
        <v>1990</v>
      </c>
      <c r="F1088" s="1033" t="s">
        <v>1702</v>
      </c>
      <c r="G1088" s="1034"/>
      <c r="H1088" s="137" t="s">
        <v>412</v>
      </c>
      <c r="I1088" s="136">
        <v>1.2E-2</v>
      </c>
      <c r="J1088" s="136">
        <v>19.09</v>
      </c>
      <c r="K1088" s="138">
        <f>J1088*I1088</f>
        <v>0.22908000000000001</v>
      </c>
    </row>
    <row r="1089" spans="1:11">
      <c r="A1089" s="139"/>
      <c r="E1089" s="139"/>
      <c r="F1089" s="139"/>
      <c r="I1089" s="139"/>
      <c r="J1089" s="139"/>
      <c r="K1089" s="140"/>
    </row>
    <row r="1090" spans="1:11">
      <c r="A1090" s="139"/>
      <c r="E1090" s="139"/>
      <c r="F1090" s="139"/>
      <c r="I1090" s="139"/>
      <c r="J1090" s="139"/>
      <c r="K1090" s="140"/>
    </row>
    <row r="1091" spans="1:11" ht="31.5">
      <c r="A1091" s="132" t="s">
        <v>1991</v>
      </c>
      <c r="B1091" s="133" t="s">
        <v>1700</v>
      </c>
      <c r="C1091" s="133" t="s">
        <v>698</v>
      </c>
      <c r="D1091" s="133">
        <v>95423</v>
      </c>
      <c r="E1091" s="134" t="s">
        <v>678</v>
      </c>
      <c r="F1091" s="134" t="s">
        <v>601</v>
      </c>
      <c r="G1091" s="133"/>
      <c r="H1091" s="133" t="s">
        <v>447</v>
      </c>
      <c r="I1091" s="134"/>
      <c r="J1091" s="134"/>
      <c r="K1091" s="135">
        <f>K1093</f>
        <v>128.84098900000001</v>
      </c>
    </row>
    <row r="1092" spans="1:11" ht="50.1" customHeight="1">
      <c r="A1092" s="128"/>
      <c r="B1092" s="129" t="s">
        <v>1691</v>
      </c>
      <c r="C1092" s="129" t="s">
        <v>1692</v>
      </c>
      <c r="D1092" s="129" t="s">
        <v>1693</v>
      </c>
      <c r="E1092" s="130" t="s">
        <v>0</v>
      </c>
      <c r="F1092" s="130" t="s">
        <v>1694</v>
      </c>
      <c r="G1092" s="129"/>
      <c r="H1092" s="129" t="s">
        <v>1695</v>
      </c>
      <c r="I1092" s="130" t="s">
        <v>1696</v>
      </c>
      <c r="J1092" s="130" t="s">
        <v>1697</v>
      </c>
      <c r="K1092" s="131" t="s">
        <v>1698</v>
      </c>
    </row>
    <row r="1093" spans="1:11">
      <c r="A1093" s="136" t="s">
        <v>1208</v>
      </c>
      <c r="B1093" s="137" t="s">
        <v>792</v>
      </c>
      <c r="C1093" s="137" t="s">
        <v>698</v>
      </c>
      <c r="D1093" s="137">
        <v>40819</v>
      </c>
      <c r="E1093" s="136" t="s">
        <v>1712</v>
      </c>
      <c r="F1093" s="1033" t="s">
        <v>1702</v>
      </c>
      <c r="G1093" s="1034"/>
      <c r="H1093" s="137" t="s">
        <v>447</v>
      </c>
      <c r="I1093" s="136">
        <v>1.3100000000000001E-2</v>
      </c>
      <c r="J1093" s="136">
        <v>9835.19</v>
      </c>
      <c r="K1093" s="138">
        <f>J1093*I1093</f>
        <v>128.84098900000001</v>
      </c>
    </row>
    <row r="1094" spans="1:11">
      <c r="A1094" s="139"/>
      <c r="E1094" s="139"/>
      <c r="F1094" s="139"/>
      <c r="I1094" s="139"/>
      <c r="J1094" s="139"/>
      <c r="K1094" s="140"/>
    </row>
    <row r="1095" spans="1:11">
      <c r="A1095" s="139"/>
      <c r="E1095" s="139"/>
      <c r="F1095" s="139"/>
      <c r="I1095" s="139"/>
      <c r="J1095" s="139"/>
      <c r="K1095" s="140"/>
    </row>
    <row r="1096" spans="1:11" ht="31.5">
      <c r="A1096" s="132" t="s">
        <v>1992</v>
      </c>
      <c r="B1096" s="133" t="s">
        <v>1700</v>
      </c>
      <c r="C1096" s="133" t="s">
        <v>698</v>
      </c>
      <c r="D1096" s="133">
        <v>95344</v>
      </c>
      <c r="E1096" s="134" t="s">
        <v>1993</v>
      </c>
      <c r="F1096" s="134" t="s">
        <v>601</v>
      </c>
      <c r="G1096" s="133"/>
      <c r="H1096" s="133" t="s">
        <v>412</v>
      </c>
      <c r="I1096" s="134"/>
      <c r="J1096" s="134"/>
      <c r="K1096" s="135">
        <f>K1098</f>
        <v>0.24393000000000001</v>
      </c>
    </row>
    <row r="1097" spans="1:11" ht="50.1" customHeight="1">
      <c r="A1097" s="128"/>
      <c r="B1097" s="129" t="s">
        <v>1691</v>
      </c>
      <c r="C1097" s="129" t="s">
        <v>1692</v>
      </c>
      <c r="D1097" s="129" t="s">
        <v>1693</v>
      </c>
      <c r="E1097" s="130" t="s">
        <v>0</v>
      </c>
      <c r="F1097" s="130" t="s">
        <v>1694</v>
      </c>
      <c r="G1097" s="129"/>
      <c r="H1097" s="129" t="s">
        <v>1695</v>
      </c>
      <c r="I1097" s="130" t="s">
        <v>1696</v>
      </c>
      <c r="J1097" s="130" t="s">
        <v>1697</v>
      </c>
      <c r="K1097" s="131" t="s">
        <v>1698</v>
      </c>
    </row>
    <row r="1098" spans="1:11">
      <c r="A1098" s="136" t="s">
        <v>1208</v>
      </c>
      <c r="B1098" s="137" t="s">
        <v>792</v>
      </c>
      <c r="C1098" s="137" t="s">
        <v>698</v>
      </c>
      <c r="D1098" s="137">
        <v>25957</v>
      </c>
      <c r="E1098" s="136" t="s">
        <v>1994</v>
      </c>
      <c r="F1098" s="1033" t="s">
        <v>1702</v>
      </c>
      <c r="G1098" s="1034"/>
      <c r="H1098" s="137" t="s">
        <v>412</v>
      </c>
      <c r="I1098" s="136">
        <v>9.4000000000000004E-3</v>
      </c>
      <c r="J1098" s="136">
        <v>25.95</v>
      </c>
      <c r="K1098" s="138">
        <f>I1098*J1098</f>
        <v>0.24393000000000001</v>
      </c>
    </row>
    <row r="1099" spans="1:11">
      <c r="A1099" s="139"/>
      <c r="E1099" s="139"/>
      <c r="F1099" s="139"/>
      <c r="I1099" s="139"/>
      <c r="J1099" s="139"/>
      <c r="K1099" s="140"/>
    </row>
    <row r="1100" spans="1:11">
      <c r="A1100" s="139"/>
      <c r="E1100" s="139"/>
      <c r="F1100" s="139"/>
      <c r="I1100" s="139"/>
      <c r="J1100" s="139"/>
      <c r="K1100" s="140"/>
    </row>
    <row r="1101" spans="1:11" ht="31.5">
      <c r="A1101" s="132" t="s">
        <v>1995</v>
      </c>
      <c r="B1101" s="133" t="s">
        <v>1700</v>
      </c>
      <c r="C1101" s="133" t="s">
        <v>698</v>
      </c>
      <c r="D1101" s="133">
        <v>95346</v>
      </c>
      <c r="E1101" s="134" t="s">
        <v>1996</v>
      </c>
      <c r="F1101" s="134" t="s">
        <v>601</v>
      </c>
      <c r="G1101" s="133"/>
      <c r="H1101" s="133" t="s">
        <v>412</v>
      </c>
      <c r="I1101" s="134"/>
      <c r="J1101" s="134"/>
      <c r="K1101" s="135">
        <f>K1103</f>
        <v>9.6596000000000001E-2</v>
      </c>
    </row>
    <row r="1102" spans="1:11" ht="50.1" customHeight="1">
      <c r="A1102" s="128"/>
      <c r="B1102" s="129" t="s">
        <v>1691</v>
      </c>
      <c r="C1102" s="129" t="s">
        <v>1692</v>
      </c>
      <c r="D1102" s="129" t="s">
        <v>1693</v>
      </c>
      <c r="E1102" s="130" t="s">
        <v>0</v>
      </c>
      <c r="F1102" s="130" t="s">
        <v>1694</v>
      </c>
      <c r="G1102" s="129"/>
      <c r="H1102" s="129" t="s">
        <v>1695</v>
      </c>
      <c r="I1102" s="130" t="s">
        <v>1696</v>
      </c>
      <c r="J1102" s="130" t="s">
        <v>1697</v>
      </c>
      <c r="K1102" s="131" t="s">
        <v>1698</v>
      </c>
    </row>
    <row r="1103" spans="1:11">
      <c r="A1103" s="136" t="s">
        <v>1208</v>
      </c>
      <c r="B1103" s="137" t="s">
        <v>792</v>
      </c>
      <c r="C1103" s="137" t="s">
        <v>698</v>
      </c>
      <c r="D1103" s="137">
        <v>20020</v>
      </c>
      <c r="E1103" s="136" t="s">
        <v>1997</v>
      </c>
      <c r="F1103" s="1033" t="s">
        <v>1702</v>
      </c>
      <c r="G1103" s="1034"/>
      <c r="H1103" s="137" t="s">
        <v>412</v>
      </c>
      <c r="I1103" s="136">
        <v>4.1000000000000003E-3</v>
      </c>
      <c r="J1103" s="136">
        <v>23.56</v>
      </c>
      <c r="K1103" s="138">
        <f>I1103*J1103</f>
        <v>9.6596000000000001E-2</v>
      </c>
    </row>
    <row r="1104" spans="1:11">
      <c r="A1104" s="139"/>
      <c r="E1104" s="139"/>
      <c r="F1104" s="139"/>
      <c r="I1104" s="139"/>
      <c r="J1104" s="139"/>
      <c r="K1104" s="140"/>
    </row>
    <row r="1105" spans="1:11">
      <c r="A1105" s="139"/>
      <c r="E1105" s="139"/>
      <c r="F1105" s="139"/>
      <c r="I1105" s="139"/>
      <c r="J1105" s="139"/>
      <c r="K1105" s="140"/>
    </row>
    <row r="1106" spans="1:11" ht="31.5">
      <c r="A1106" s="132" t="s">
        <v>1998</v>
      </c>
      <c r="B1106" s="133" t="s">
        <v>1700</v>
      </c>
      <c r="C1106" s="133" t="s">
        <v>698</v>
      </c>
      <c r="D1106" s="133">
        <v>95389</v>
      </c>
      <c r="E1106" s="134" t="s">
        <v>1999</v>
      </c>
      <c r="F1106" s="134" t="s">
        <v>601</v>
      </c>
      <c r="G1106" s="133"/>
      <c r="H1106" s="133" t="s">
        <v>412</v>
      </c>
      <c r="I1106" s="134"/>
      <c r="J1106" s="134"/>
      <c r="K1106" s="135">
        <f>K1108</f>
        <v>0.14552399999999999</v>
      </c>
    </row>
    <row r="1107" spans="1:11" ht="50.1" customHeight="1">
      <c r="A1107" s="128"/>
      <c r="B1107" s="129" t="s">
        <v>1691</v>
      </c>
      <c r="C1107" s="129" t="s">
        <v>1692</v>
      </c>
      <c r="D1107" s="129" t="s">
        <v>1693</v>
      </c>
      <c r="E1107" s="130" t="s">
        <v>0</v>
      </c>
      <c r="F1107" s="130" t="s">
        <v>1694</v>
      </c>
      <c r="G1107" s="129"/>
      <c r="H1107" s="129" t="s">
        <v>1695</v>
      </c>
      <c r="I1107" s="130" t="s">
        <v>1696</v>
      </c>
      <c r="J1107" s="130" t="s">
        <v>1697</v>
      </c>
      <c r="K1107" s="131" t="s">
        <v>1698</v>
      </c>
    </row>
    <row r="1108" spans="1:11">
      <c r="A1108" s="136" t="s">
        <v>1208</v>
      </c>
      <c r="B1108" s="137" t="s">
        <v>792</v>
      </c>
      <c r="C1108" s="137" t="s">
        <v>698</v>
      </c>
      <c r="D1108" s="137">
        <v>37666</v>
      </c>
      <c r="E1108" s="136" t="s">
        <v>2000</v>
      </c>
      <c r="F1108" s="1033" t="s">
        <v>1702</v>
      </c>
      <c r="G1108" s="1034"/>
      <c r="H1108" s="137" t="s">
        <v>412</v>
      </c>
      <c r="I1108" s="136">
        <v>6.7000000000000002E-3</v>
      </c>
      <c r="J1108" s="136">
        <v>21.72</v>
      </c>
      <c r="K1108" s="138">
        <f>I1108*J1108</f>
        <v>0.14552399999999999</v>
      </c>
    </row>
    <row r="1109" spans="1:11">
      <c r="A1109" s="139"/>
      <c r="E1109" s="139"/>
      <c r="F1109" s="139"/>
      <c r="I1109" s="139"/>
      <c r="J1109" s="139"/>
      <c r="K1109" s="140"/>
    </row>
    <row r="1110" spans="1:11">
      <c r="A1110" s="139"/>
      <c r="E1110" s="139"/>
      <c r="F1110" s="139"/>
      <c r="I1110" s="139"/>
      <c r="J1110" s="139"/>
      <c r="K1110" s="140"/>
    </row>
    <row r="1111" spans="1:11" ht="31.5">
      <c r="A1111" s="132" t="s">
        <v>2001</v>
      </c>
      <c r="B1111" s="133" t="s">
        <v>1700</v>
      </c>
      <c r="C1111" s="133" t="s">
        <v>698</v>
      </c>
      <c r="D1111" s="133">
        <v>95364</v>
      </c>
      <c r="E1111" s="134" t="s">
        <v>2002</v>
      </c>
      <c r="F1111" s="134" t="s">
        <v>601</v>
      </c>
      <c r="G1111" s="133"/>
      <c r="H1111" s="133" t="s">
        <v>412</v>
      </c>
      <c r="I1111" s="134"/>
      <c r="J1111" s="134"/>
      <c r="K1111" s="135">
        <v>0.18</v>
      </c>
    </row>
    <row r="1112" spans="1:11" ht="50.1" customHeight="1">
      <c r="A1112" s="128"/>
      <c r="B1112" s="129" t="s">
        <v>1691</v>
      </c>
      <c r="C1112" s="129" t="s">
        <v>1692</v>
      </c>
      <c r="D1112" s="129" t="s">
        <v>1693</v>
      </c>
      <c r="E1112" s="130" t="s">
        <v>0</v>
      </c>
      <c r="F1112" s="130" t="s">
        <v>1694</v>
      </c>
      <c r="G1112" s="129"/>
      <c r="H1112" s="129" t="s">
        <v>1695</v>
      </c>
      <c r="I1112" s="130" t="s">
        <v>1696</v>
      </c>
      <c r="J1112" s="130" t="s">
        <v>1697</v>
      </c>
      <c r="K1112" s="131" t="s">
        <v>1698</v>
      </c>
    </row>
    <row r="1113" spans="1:11">
      <c r="A1113" s="136" t="s">
        <v>1208</v>
      </c>
      <c r="B1113" s="137" t="s">
        <v>792</v>
      </c>
      <c r="C1113" s="137" t="s">
        <v>698</v>
      </c>
      <c r="D1113" s="137">
        <v>4248</v>
      </c>
      <c r="E1113" s="136" t="s">
        <v>2003</v>
      </c>
      <c r="F1113" s="1033" t="s">
        <v>1702</v>
      </c>
      <c r="G1113" s="1034"/>
      <c r="H1113" s="137" t="s">
        <v>412</v>
      </c>
      <c r="I1113" s="136">
        <v>6.7000000000000002E-3</v>
      </c>
      <c r="J1113" s="136">
        <v>29.15</v>
      </c>
      <c r="K1113" s="138">
        <f>I1113*J1113</f>
        <v>0.19530500000000001</v>
      </c>
    </row>
    <row r="1114" spans="1:11">
      <c r="A1114" s="139"/>
      <c r="E1114" s="139"/>
      <c r="F1114" s="139"/>
      <c r="I1114" s="139"/>
      <c r="J1114" s="139"/>
      <c r="K1114" s="140"/>
    </row>
    <row r="1115" spans="1:11">
      <c r="A1115" s="139"/>
      <c r="E1115" s="139"/>
      <c r="F1115" s="139"/>
      <c r="I1115" s="139"/>
      <c r="J1115" s="139"/>
      <c r="K1115" s="140"/>
    </row>
    <row r="1116" spans="1:11" ht="31.5">
      <c r="A1116" s="132" t="s">
        <v>2004</v>
      </c>
      <c r="B1116" s="133" t="s">
        <v>1700</v>
      </c>
      <c r="C1116" s="133" t="s">
        <v>698</v>
      </c>
      <c r="D1116" s="133">
        <v>95371</v>
      </c>
      <c r="E1116" s="134" t="s">
        <v>2005</v>
      </c>
      <c r="F1116" s="134" t="s">
        <v>601</v>
      </c>
      <c r="G1116" s="133"/>
      <c r="H1116" s="133" t="s">
        <v>412</v>
      </c>
      <c r="I1116" s="134"/>
      <c r="J1116" s="146"/>
      <c r="K1116" s="135">
        <f>SUM(K1118)</f>
        <v>0.42346400000000001</v>
      </c>
    </row>
    <row r="1117" spans="1:11" ht="50.1" customHeight="1">
      <c r="A1117" s="128"/>
      <c r="B1117" s="129" t="s">
        <v>1691</v>
      </c>
      <c r="C1117" s="129" t="s">
        <v>1692</v>
      </c>
      <c r="D1117" s="129" t="s">
        <v>1693</v>
      </c>
      <c r="E1117" s="130" t="s">
        <v>0</v>
      </c>
      <c r="F1117" s="130" t="s">
        <v>1694</v>
      </c>
      <c r="G1117" s="129"/>
      <c r="H1117" s="129" t="s">
        <v>1695</v>
      </c>
      <c r="I1117" s="130" t="s">
        <v>1696</v>
      </c>
      <c r="J1117" s="130" t="s">
        <v>1697</v>
      </c>
      <c r="K1117" s="131" t="s">
        <v>1698</v>
      </c>
    </row>
    <row r="1118" spans="1:11">
      <c r="A1118" s="136" t="s">
        <v>1208</v>
      </c>
      <c r="B1118" s="137" t="s">
        <v>792</v>
      </c>
      <c r="C1118" s="137" t="s">
        <v>698</v>
      </c>
      <c r="D1118" s="137">
        <v>4750</v>
      </c>
      <c r="E1118" s="136" t="s">
        <v>2006</v>
      </c>
      <c r="F1118" s="1033" t="s">
        <v>1702</v>
      </c>
      <c r="G1118" s="1034"/>
      <c r="H1118" s="137" t="s">
        <v>412</v>
      </c>
      <c r="I1118" s="136">
        <v>1.72E-2</v>
      </c>
      <c r="J1118" s="136">
        <v>24.62</v>
      </c>
      <c r="K1118" s="138">
        <f>I1118*J1118</f>
        <v>0.42346400000000001</v>
      </c>
    </row>
    <row r="1119" spans="1:11">
      <c r="A1119" s="139"/>
      <c r="E1119" s="139"/>
      <c r="F1119" s="139"/>
      <c r="I1119" s="139"/>
      <c r="J1119" s="139"/>
      <c r="K1119" s="140"/>
    </row>
    <row r="1120" spans="1:11">
      <c r="A1120" s="139"/>
      <c r="E1120" s="139"/>
      <c r="F1120" s="139"/>
      <c r="I1120" s="139"/>
      <c r="J1120" s="139"/>
      <c r="K1120" s="140"/>
    </row>
    <row r="1121" spans="1:11" ht="31.5">
      <c r="A1121" s="132" t="s">
        <v>2007</v>
      </c>
      <c r="B1121" s="133" t="s">
        <v>1700</v>
      </c>
      <c r="C1121" s="133" t="s">
        <v>698</v>
      </c>
      <c r="D1121" s="133">
        <v>95372</v>
      </c>
      <c r="E1121" s="134" t="s">
        <v>2008</v>
      </c>
      <c r="F1121" s="134" t="s">
        <v>601</v>
      </c>
      <c r="G1121" s="133"/>
      <c r="H1121" s="133" t="s">
        <v>412</v>
      </c>
      <c r="I1121" s="134"/>
      <c r="J1121" s="134"/>
      <c r="K1121" s="135">
        <f>K1123</f>
        <v>0.29831999999999997</v>
      </c>
    </row>
    <row r="1122" spans="1:11" ht="50.1" customHeight="1">
      <c r="A1122" s="128"/>
      <c r="B1122" s="129" t="s">
        <v>1691</v>
      </c>
      <c r="C1122" s="129" t="s">
        <v>1692</v>
      </c>
      <c r="D1122" s="129" t="s">
        <v>1693</v>
      </c>
      <c r="E1122" s="130" t="s">
        <v>0</v>
      </c>
      <c r="F1122" s="130" t="s">
        <v>1694</v>
      </c>
      <c r="G1122" s="129"/>
      <c r="H1122" s="129" t="s">
        <v>1695</v>
      </c>
      <c r="I1122" s="130" t="s">
        <v>1696</v>
      </c>
      <c r="J1122" s="130" t="s">
        <v>1697</v>
      </c>
      <c r="K1122" s="131" t="s">
        <v>1698</v>
      </c>
    </row>
    <row r="1123" spans="1:11">
      <c r="A1123" s="136" t="s">
        <v>1208</v>
      </c>
      <c r="B1123" s="137" t="s">
        <v>792</v>
      </c>
      <c r="C1123" s="137" t="s">
        <v>698</v>
      </c>
      <c r="D1123" s="137">
        <v>4783</v>
      </c>
      <c r="E1123" s="136" t="s">
        <v>2009</v>
      </c>
      <c r="F1123" s="1033" t="s">
        <v>1702</v>
      </c>
      <c r="G1123" s="1034"/>
      <c r="H1123" s="137" t="s">
        <v>412</v>
      </c>
      <c r="I1123" s="136">
        <v>1.2E-2</v>
      </c>
      <c r="J1123" s="136">
        <v>24.86</v>
      </c>
      <c r="K1123" s="138">
        <f>I1123*J1123</f>
        <v>0.29831999999999997</v>
      </c>
    </row>
    <row r="1124" spans="1:11">
      <c r="A1124" s="139"/>
      <c r="E1124" s="139"/>
      <c r="F1124" s="139"/>
      <c r="I1124" s="139"/>
      <c r="J1124" s="139"/>
      <c r="K1124" s="140"/>
    </row>
    <row r="1125" spans="1:11">
      <c r="A1125" s="139"/>
      <c r="E1125" s="139"/>
      <c r="F1125" s="139"/>
      <c r="I1125" s="139"/>
      <c r="J1125" s="139"/>
      <c r="K1125" s="140"/>
    </row>
    <row r="1126" spans="1:11" ht="31.5">
      <c r="A1126" s="132" t="s">
        <v>2010</v>
      </c>
      <c r="B1126" s="133" t="s">
        <v>1700</v>
      </c>
      <c r="C1126" s="133" t="s">
        <v>698</v>
      </c>
      <c r="D1126" s="133">
        <v>95378</v>
      </c>
      <c r="E1126" s="134" t="s">
        <v>665</v>
      </c>
      <c r="F1126" s="134" t="s">
        <v>601</v>
      </c>
      <c r="G1126" s="133"/>
      <c r="H1126" s="133" t="s">
        <v>412</v>
      </c>
      <c r="I1126" s="134"/>
      <c r="J1126" s="134"/>
      <c r="K1126" s="135">
        <f>K1128</f>
        <v>0.43842799999999998</v>
      </c>
    </row>
    <row r="1127" spans="1:11" ht="50.1" customHeight="1">
      <c r="A1127" s="128"/>
      <c r="B1127" s="129" t="s">
        <v>1691</v>
      </c>
      <c r="C1127" s="129" t="s">
        <v>1692</v>
      </c>
      <c r="D1127" s="129" t="s">
        <v>1693</v>
      </c>
      <c r="E1127" s="130" t="s">
        <v>0</v>
      </c>
      <c r="F1127" s="130" t="s">
        <v>1694</v>
      </c>
      <c r="G1127" s="129"/>
      <c r="H1127" s="129" t="s">
        <v>1695</v>
      </c>
      <c r="I1127" s="130" t="s">
        <v>1696</v>
      </c>
      <c r="J1127" s="130" t="s">
        <v>1697</v>
      </c>
      <c r="K1127" s="131" t="s">
        <v>1698</v>
      </c>
    </row>
    <row r="1128" spans="1:11">
      <c r="A1128" s="136" t="s">
        <v>1208</v>
      </c>
      <c r="B1128" s="137" t="s">
        <v>792</v>
      </c>
      <c r="C1128" s="137" t="s">
        <v>698</v>
      </c>
      <c r="D1128" s="137">
        <v>88316</v>
      </c>
      <c r="E1128" s="136" t="s">
        <v>664</v>
      </c>
      <c r="F1128" s="1033" t="s">
        <v>1702</v>
      </c>
      <c r="G1128" s="1034"/>
      <c r="H1128" s="137" t="s">
        <v>412</v>
      </c>
      <c r="I1128" s="136">
        <v>1.72E-2</v>
      </c>
      <c r="J1128" s="136">
        <v>25.49</v>
      </c>
      <c r="K1128" s="138">
        <f>I1128*J1128</f>
        <v>0.43842799999999998</v>
      </c>
    </row>
    <row r="1129" spans="1:11">
      <c r="A1129" s="139"/>
      <c r="E1129" s="139"/>
      <c r="F1129" s="139"/>
      <c r="I1129" s="139"/>
      <c r="J1129" s="139"/>
      <c r="K1129" s="140"/>
    </row>
    <row r="1130" spans="1:11">
      <c r="A1130" s="139"/>
      <c r="E1130" s="139"/>
      <c r="F1130" s="139"/>
      <c r="I1130" s="139"/>
      <c r="J1130" s="139"/>
      <c r="K1130" s="140"/>
    </row>
    <row r="1131" spans="1:11" ht="31.5">
      <c r="A1131" s="132" t="s">
        <v>2011</v>
      </c>
      <c r="B1131" s="133" t="s">
        <v>1700</v>
      </c>
      <c r="C1131" s="133" t="s">
        <v>698</v>
      </c>
      <c r="D1131" s="133">
        <v>101364</v>
      </c>
      <c r="E1131" s="134" t="s">
        <v>681</v>
      </c>
      <c r="F1131" s="134" t="s">
        <v>601</v>
      </c>
      <c r="G1131" s="133"/>
      <c r="H1131" s="133" t="s">
        <v>447</v>
      </c>
      <c r="I1131" s="134"/>
      <c r="J1131" s="134"/>
      <c r="K1131" s="135">
        <f>K1133</f>
        <v>40.742572000000003</v>
      </c>
    </row>
    <row r="1132" spans="1:11" ht="50.1" customHeight="1">
      <c r="A1132" s="128"/>
      <c r="B1132" s="129" t="s">
        <v>1691</v>
      </c>
      <c r="C1132" s="129" t="s">
        <v>1692</v>
      </c>
      <c r="D1132" s="129" t="s">
        <v>1693</v>
      </c>
      <c r="E1132" s="130" t="s">
        <v>0</v>
      </c>
      <c r="F1132" s="130" t="s">
        <v>1694</v>
      </c>
      <c r="G1132" s="129"/>
      <c r="H1132" s="129" t="s">
        <v>1695</v>
      </c>
      <c r="I1132" s="130" t="s">
        <v>1696</v>
      </c>
      <c r="J1132" s="130" t="s">
        <v>1697</v>
      </c>
      <c r="K1132" s="131" t="s">
        <v>1698</v>
      </c>
    </row>
    <row r="1133" spans="1:11">
      <c r="A1133" s="136" t="s">
        <v>1208</v>
      </c>
      <c r="B1133" s="137" t="s">
        <v>792</v>
      </c>
      <c r="C1133" s="137" t="s">
        <v>698</v>
      </c>
      <c r="D1133" s="137">
        <v>41084</v>
      </c>
      <c r="E1133" s="136" t="s">
        <v>1716</v>
      </c>
      <c r="F1133" s="1033" t="s">
        <v>1702</v>
      </c>
      <c r="G1133" s="1034"/>
      <c r="H1133" s="137" t="s">
        <v>447</v>
      </c>
      <c r="I1133" s="136">
        <v>1.3100000000000001E-2</v>
      </c>
      <c r="J1133" s="136">
        <v>3110.12</v>
      </c>
      <c r="K1133" s="138">
        <f>I1133*J1133</f>
        <v>40.742572000000003</v>
      </c>
    </row>
    <row r="1134" spans="1:11">
      <c r="A1134" s="139"/>
      <c r="E1134" s="139"/>
      <c r="F1134" s="139"/>
      <c r="I1134" s="139"/>
      <c r="J1134" s="139"/>
      <c r="K1134" s="140"/>
    </row>
    <row r="1135" spans="1:11">
      <c r="A1135" s="139"/>
      <c r="E1135" s="139"/>
      <c r="F1135" s="139"/>
      <c r="I1135" s="139"/>
      <c r="J1135" s="139"/>
      <c r="K1135" s="140"/>
    </row>
    <row r="1136" spans="1:11" ht="31.5">
      <c r="A1136" s="132" t="s">
        <v>2012</v>
      </c>
      <c r="B1136" s="133" t="s">
        <v>1700</v>
      </c>
      <c r="C1136" s="133" t="s">
        <v>698</v>
      </c>
      <c r="D1136" s="133">
        <v>95379</v>
      </c>
      <c r="E1136" s="134" t="s">
        <v>2013</v>
      </c>
      <c r="F1136" s="134" t="s">
        <v>601</v>
      </c>
      <c r="G1136" s="133"/>
      <c r="H1136" s="133" t="s">
        <v>412</v>
      </c>
      <c r="I1136" s="134"/>
      <c r="J1136" s="134"/>
      <c r="K1136" s="135">
        <f>K1138</f>
        <v>0.25596200000000002</v>
      </c>
    </row>
    <row r="1137" spans="1:11" ht="50.1" customHeight="1">
      <c r="A1137" s="128"/>
      <c r="B1137" s="129" t="s">
        <v>1691</v>
      </c>
      <c r="C1137" s="129" t="s">
        <v>1692</v>
      </c>
      <c r="D1137" s="129" t="s">
        <v>1693</v>
      </c>
      <c r="E1137" s="130" t="s">
        <v>0</v>
      </c>
      <c r="F1137" s="130" t="s">
        <v>1694</v>
      </c>
      <c r="G1137" s="129"/>
      <c r="H1137" s="129" t="s">
        <v>1695</v>
      </c>
      <c r="I1137" s="130" t="s">
        <v>1696</v>
      </c>
      <c r="J1137" s="130" t="s">
        <v>1697</v>
      </c>
      <c r="K1137" s="131" t="s">
        <v>1698</v>
      </c>
    </row>
    <row r="1138" spans="1:11">
      <c r="A1138" s="136" t="s">
        <v>1208</v>
      </c>
      <c r="B1138" s="137" t="s">
        <v>792</v>
      </c>
      <c r="C1138" s="137" t="s">
        <v>698</v>
      </c>
      <c r="D1138" s="137">
        <v>6160</v>
      </c>
      <c r="E1138" s="136" t="s">
        <v>2014</v>
      </c>
      <c r="F1138" s="1033" t="s">
        <v>1702</v>
      </c>
      <c r="G1138" s="1034"/>
      <c r="H1138" s="137" t="s">
        <v>412</v>
      </c>
      <c r="I1138" s="136">
        <v>9.4000000000000004E-3</v>
      </c>
      <c r="J1138" s="136">
        <v>27.23</v>
      </c>
      <c r="K1138" s="138">
        <f>I1138*J1138</f>
        <v>0.25596200000000002</v>
      </c>
    </row>
    <row r="1139" spans="1:11">
      <c r="A1139" s="139"/>
      <c r="E1139" s="139"/>
      <c r="F1139" s="139"/>
      <c r="I1139" s="139"/>
      <c r="J1139" s="139"/>
      <c r="K1139" s="140"/>
    </row>
    <row r="1140" spans="1:11">
      <c r="A1140" s="139"/>
      <c r="E1140" s="139"/>
      <c r="F1140" s="139"/>
      <c r="I1140" s="139"/>
      <c r="J1140" s="139"/>
      <c r="K1140" s="140"/>
    </row>
    <row r="1141" spans="1:11" ht="31.5">
      <c r="A1141" s="132" t="s">
        <v>2015</v>
      </c>
      <c r="B1141" s="133" t="s">
        <v>1700</v>
      </c>
      <c r="C1141" s="133" t="s">
        <v>698</v>
      </c>
      <c r="D1141" s="133">
        <v>100315</v>
      </c>
      <c r="E1141" s="134" t="s">
        <v>680</v>
      </c>
      <c r="F1141" s="134" t="s">
        <v>601</v>
      </c>
      <c r="G1141" s="133"/>
      <c r="H1141" s="133" t="s">
        <v>447</v>
      </c>
      <c r="I1141" s="134"/>
      <c r="J1141" s="146"/>
      <c r="K1141" s="135">
        <f>SUM(K1143)</f>
        <v>76.969509000000002</v>
      </c>
    </row>
    <row r="1142" spans="1:11" ht="50.1" customHeight="1">
      <c r="A1142" s="128"/>
      <c r="B1142" s="129" t="s">
        <v>1691</v>
      </c>
      <c r="C1142" s="129" t="s">
        <v>1692</v>
      </c>
      <c r="D1142" s="129" t="s">
        <v>1693</v>
      </c>
      <c r="E1142" s="130" t="s">
        <v>0</v>
      </c>
      <c r="F1142" s="130" t="s">
        <v>1694</v>
      </c>
      <c r="G1142" s="129"/>
      <c r="H1142" s="129" t="s">
        <v>1695</v>
      </c>
      <c r="I1142" s="130" t="s">
        <v>1696</v>
      </c>
      <c r="J1142" s="130" t="s">
        <v>1697</v>
      </c>
      <c r="K1142" s="131" t="s">
        <v>1698</v>
      </c>
    </row>
    <row r="1143" spans="1:11">
      <c r="A1143" s="136" t="s">
        <v>1208</v>
      </c>
      <c r="B1143" s="137" t="s">
        <v>792</v>
      </c>
      <c r="C1143" s="137" t="s">
        <v>698</v>
      </c>
      <c r="D1143" s="137">
        <v>40944</v>
      </c>
      <c r="E1143" s="136" t="s">
        <v>1714</v>
      </c>
      <c r="F1143" s="1033" t="s">
        <v>1702</v>
      </c>
      <c r="G1143" s="1034"/>
      <c r="H1143" s="137" t="s">
        <v>447</v>
      </c>
      <c r="I1143" s="136">
        <v>1.11E-2</v>
      </c>
      <c r="J1143" s="136">
        <v>6934.19</v>
      </c>
      <c r="K1143" s="138">
        <f>I1143*J1143</f>
        <v>76.969509000000002</v>
      </c>
    </row>
    <row r="1144" spans="1:11">
      <c r="A1144" s="139"/>
      <c r="E1144" s="139"/>
      <c r="F1144" s="139"/>
      <c r="I1144" s="139"/>
      <c r="J1144" s="139"/>
      <c r="K1144" s="140"/>
    </row>
    <row r="1145" spans="1:11">
      <c r="A1145" s="139"/>
      <c r="E1145" s="139"/>
      <c r="F1145" s="139"/>
      <c r="I1145" s="139"/>
      <c r="J1145" s="139"/>
      <c r="K1145" s="140"/>
    </row>
    <row r="1146" spans="1:11" ht="31.5">
      <c r="A1146" s="132" t="s">
        <v>2016</v>
      </c>
      <c r="B1146" s="133" t="s">
        <v>1700</v>
      </c>
      <c r="C1146" s="133" t="s">
        <v>698</v>
      </c>
      <c r="D1146" s="133">
        <v>95387</v>
      </c>
      <c r="E1146" s="134" t="s">
        <v>2017</v>
      </c>
      <c r="F1146" s="134" t="s">
        <v>601</v>
      </c>
      <c r="G1146" s="133"/>
      <c r="H1146" s="133" t="s">
        <v>412</v>
      </c>
      <c r="I1146" s="134"/>
      <c r="J1146" s="146"/>
      <c r="K1146" s="135">
        <f>SUM(K1148)</f>
        <v>0.25547999999999998</v>
      </c>
    </row>
    <row r="1147" spans="1:11" ht="50.1" customHeight="1">
      <c r="A1147" s="128"/>
      <c r="B1147" s="129" t="s">
        <v>1691</v>
      </c>
      <c r="C1147" s="129" t="s">
        <v>1692</v>
      </c>
      <c r="D1147" s="129" t="s">
        <v>1693</v>
      </c>
      <c r="E1147" s="130" t="s">
        <v>0</v>
      </c>
      <c r="F1147" s="130" t="s">
        <v>1694</v>
      </c>
      <c r="G1147" s="129"/>
      <c r="H1147" s="129" t="s">
        <v>1695</v>
      </c>
      <c r="I1147" s="130" t="s">
        <v>1696</v>
      </c>
      <c r="J1147" s="130" t="s">
        <v>1697</v>
      </c>
      <c r="K1147" s="131" t="s">
        <v>1698</v>
      </c>
    </row>
    <row r="1148" spans="1:11">
      <c r="A1148" s="136" t="s">
        <v>1208</v>
      </c>
      <c r="B1148" s="137" t="s">
        <v>792</v>
      </c>
      <c r="C1148" s="137" t="s">
        <v>698</v>
      </c>
      <c r="D1148" s="137">
        <v>10489</v>
      </c>
      <c r="E1148" s="136" t="s">
        <v>2018</v>
      </c>
      <c r="F1148" s="1033" t="s">
        <v>1702</v>
      </c>
      <c r="G1148" s="1034"/>
      <c r="H1148" s="137" t="s">
        <v>412</v>
      </c>
      <c r="I1148" s="136">
        <v>1.2E-2</v>
      </c>
      <c r="J1148" s="136">
        <v>21.29</v>
      </c>
      <c r="K1148" s="138">
        <f>I1148*J1148</f>
        <v>0.25547999999999998</v>
      </c>
    </row>
    <row r="1149" spans="1:11">
      <c r="A1149" s="139"/>
      <c r="E1149" s="139"/>
      <c r="F1149" s="139"/>
      <c r="I1149" s="139"/>
      <c r="J1149" s="139"/>
      <c r="K1149" s="140"/>
    </row>
    <row r="1150" spans="1:11">
      <c r="A1150" s="139"/>
      <c r="E1150" s="139"/>
      <c r="F1150" s="139"/>
      <c r="I1150" s="139"/>
      <c r="J1150" s="139"/>
      <c r="K1150" s="140"/>
    </row>
    <row r="1151" spans="1:11" ht="15.75">
      <c r="A1151" s="132" t="s">
        <v>2019</v>
      </c>
      <c r="B1151" s="133" t="s">
        <v>1700</v>
      </c>
      <c r="C1151" s="133" t="s">
        <v>698</v>
      </c>
      <c r="D1151" s="133">
        <v>88264</v>
      </c>
      <c r="E1151" s="134" t="s">
        <v>475</v>
      </c>
      <c r="F1151" s="134" t="s">
        <v>601</v>
      </c>
      <c r="G1151" s="133"/>
      <c r="H1151" s="133" t="s">
        <v>412</v>
      </c>
      <c r="I1151" s="134"/>
      <c r="J1151" s="134"/>
      <c r="K1151" s="135">
        <f>SUM(K1153:K1160)</f>
        <v>32.99</v>
      </c>
    </row>
    <row r="1152" spans="1:11" ht="50.1" customHeight="1">
      <c r="A1152" s="128"/>
      <c r="B1152" s="129" t="s">
        <v>1691</v>
      </c>
      <c r="C1152" s="129" t="s">
        <v>1692</v>
      </c>
      <c r="D1152" s="129" t="s">
        <v>1693</v>
      </c>
      <c r="E1152" s="130" t="s">
        <v>0</v>
      </c>
      <c r="F1152" s="130" t="s">
        <v>1694</v>
      </c>
      <c r="G1152" s="129"/>
      <c r="H1152" s="129" t="s">
        <v>1695</v>
      </c>
      <c r="I1152" s="130" t="s">
        <v>1696</v>
      </c>
      <c r="J1152" s="130" t="s">
        <v>1697</v>
      </c>
      <c r="K1152" s="131" t="s">
        <v>1698</v>
      </c>
    </row>
    <row r="1153" spans="1:11">
      <c r="A1153" s="136" t="s">
        <v>1208</v>
      </c>
      <c r="B1153" s="137" t="s">
        <v>792</v>
      </c>
      <c r="C1153" s="137" t="s">
        <v>698</v>
      </c>
      <c r="D1153" s="137">
        <v>2436</v>
      </c>
      <c r="E1153" s="136" t="s">
        <v>1977</v>
      </c>
      <c r="F1153" s="1033" t="s">
        <v>1702</v>
      </c>
      <c r="G1153" s="1034"/>
      <c r="H1153" s="137" t="s">
        <v>412</v>
      </c>
      <c r="I1153" s="136">
        <v>1</v>
      </c>
      <c r="J1153" s="136">
        <v>24.62</v>
      </c>
      <c r="K1153" s="138">
        <f>I1153*J1153</f>
        <v>24.62</v>
      </c>
    </row>
    <row r="1154" spans="1:11">
      <c r="A1154" s="136" t="s">
        <v>1208</v>
      </c>
      <c r="B1154" s="137" t="s">
        <v>792</v>
      </c>
      <c r="C1154" s="137" t="s">
        <v>698</v>
      </c>
      <c r="D1154" s="137">
        <v>37370</v>
      </c>
      <c r="E1154" s="136" t="s">
        <v>653</v>
      </c>
      <c r="F1154" s="1033" t="s">
        <v>1703</v>
      </c>
      <c r="G1154" s="1034"/>
      <c r="H1154" s="137" t="s">
        <v>412</v>
      </c>
      <c r="I1154" s="136">
        <v>1</v>
      </c>
      <c r="J1154" s="136">
        <v>3.91</v>
      </c>
      <c r="K1154" s="138">
        <f t="shared" ref="K1154:K1160" si="101">I1154*J1154</f>
        <v>3.91</v>
      </c>
    </row>
    <row r="1155" spans="1:11">
      <c r="A1155" s="136" t="s">
        <v>1208</v>
      </c>
      <c r="B1155" s="137" t="s">
        <v>792</v>
      </c>
      <c r="C1155" s="137" t="s">
        <v>698</v>
      </c>
      <c r="D1155" s="137">
        <v>37371</v>
      </c>
      <c r="E1155" s="136" t="s">
        <v>654</v>
      </c>
      <c r="F1155" s="1033" t="s">
        <v>1889</v>
      </c>
      <c r="G1155" s="1034"/>
      <c r="H1155" s="137" t="s">
        <v>412</v>
      </c>
      <c r="I1155" s="136">
        <v>1</v>
      </c>
      <c r="J1155" s="136">
        <v>1</v>
      </c>
      <c r="K1155" s="138">
        <f t="shared" si="101"/>
        <v>1</v>
      </c>
    </row>
    <row r="1156" spans="1:11">
      <c r="A1156" s="136" t="s">
        <v>1208</v>
      </c>
      <c r="B1156" s="137" t="s">
        <v>792</v>
      </c>
      <c r="C1156" s="137" t="s">
        <v>698</v>
      </c>
      <c r="D1156" s="137">
        <v>37372</v>
      </c>
      <c r="E1156" s="136" t="s">
        <v>655</v>
      </c>
      <c r="F1156" s="1033" t="s">
        <v>1703</v>
      </c>
      <c r="G1156" s="1034"/>
      <c r="H1156" s="137" t="s">
        <v>412</v>
      </c>
      <c r="I1156" s="136">
        <v>1</v>
      </c>
      <c r="J1156" s="136">
        <v>0.81</v>
      </c>
      <c r="K1156" s="138">
        <f t="shared" si="101"/>
        <v>0.81</v>
      </c>
    </row>
    <row r="1157" spans="1:11">
      <c r="A1157" s="136" t="s">
        <v>1208</v>
      </c>
      <c r="B1157" s="137" t="s">
        <v>792</v>
      </c>
      <c r="C1157" s="137" t="s">
        <v>698</v>
      </c>
      <c r="D1157" s="137">
        <v>37373</v>
      </c>
      <c r="E1157" s="136" t="s">
        <v>656</v>
      </c>
      <c r="F1157" s="1033" t="s">
        <v>1890</v>
      </c>
      <c r="G1157" s="1034"/>
      <c r="H1157" s="137" t="s">
        <v>412</v>
      </c>
      <c r="I1157" s="136">
        <v>1</v>
      </c>
      <c r="J1157" s="136">
        <v>0.06</v>
      </c>
      <c r="K1157" s="138">
        <f t="shared" si="101"/>
        <v>0.06</v>
      </c>
    </row>
    <row r="1158" spans="1:11">
      <c r="A1158" s="136" t="s">
        <v>1208</v>
      </c>
      <c r="B1158" s="137" t="s">
        <v>792</v>
      </c>
      <c r="C1158" s="137" t="s">
        <v>698</v>
      </c>
      <c r="D1158" s="137">
        <v>43460</v>
      </c>
      <c r="E1158" s="136" t="s">
        <v>658</v>
      </c>
      <c r="F1158" s="1033" t="s">
        <v>1704</v>
      </c>
      <c r="G1158" s="1034"/>
      <c r="H1158" s="137" t="s">
        <v>412</v>
      </c>
      <c r="I1158" s="136">
        <v>1</v>
      </c>
      <c r="J1158" s="136">
        <v>0.78</v>
      </c>
      <c r="K1158" s="138">
        <f t="shared" si="101"/>
        <v>0.78</v>
      </c>
    </row>
    <row r="1159" spans="1:11">
      <c r="A1159" s="136" t="s">
        <v>1208</v>
      </c>
      <c r="B1159" s="137" t="s">
        <v>792</v>
      </c>
      <c r="C1159" s="137" t="s">
        <v>698</v>
      </c>
      <c r="D1159" s="137">
        <v>43484</v>
      </c>
      <c r="E1159" s="136" t="s">
        <v>1914</v>
      </c>
      <c r="F1159" s="1033" t="s">
        <v>1704</v>
      </c>
      <c r="G1159" s="1034"/>
      <c r="H1159" s="137" t="s">
        <v>412</v>
      </c>
      <c r="I1159" s="136">
        <v>1</v>
      </c>
      <c r="J1159" s="136">
        <v>1.07</v>
      </c>
      <c r="K1159" s="138">
        <f t="shared" si="101"/>
        <v>1.07</v>
      </c>
    </row>
    <row r="1160" spans="1:11">
      <c r="A1160" s="136" t="s">
        <v>1208</v>
      </c>
      <c r="B1160" s="137" t="s">
        <v>1705</v>
      </c>
      <c r="C1160" s="137" t="s">
        <v>698</v>
      </c>
      <c r="D1160" s="137">
        <v>95332</v>
      </c>
      <c r="E1160" s="136" t="s">
        <v>662</v>
      </c>
      <c r="F1160" s="1033" t="s">
        <v>1706</v>
      </c>
      <c r="G1160" s="1034"/>
      <c r="H1160" s="137" t="s">
        <v>412</v>
      </c>
      <c r="I1160" s="136">
        <v>1</v>
      </c>
      <c r="J1160" s="136">
        <v>0.74</v>
      </c>
      <c r="K1160" s="138">
        <f t="shared" si="101"/>
        <v>0.74</v>
      </c>
    </row>
    <row r="1161" spans="1:11">
      <c r="A1161" s="139"/>
      <c r="E1161" s="139"/>
      <c r="F1161" s="139"/>
      <c r="I1161" s="139"/>
      <c r="J1161" s="139"/>
      <c r="K1161" s="140"/>
    </row>
    <row r="1162" spans="1:11">
      <c r="A1162" s="139"/>
      <c r="E1162" s="139"/>
      <c r="F1162" s="139"/>
      <c r="I1162" s="139"/>
      <c r="J1162" s="139"/>
      <c r="K1162" s="140"/>
    </row>
    <row r="1163" spans="1:11" ht="15.75">
      <c r="A1163" s="132" t="s">
        <v>2020</v>
      </c>
      <c r="B1163" s="133" t="s">
        <v>1700</v>
      </c>
      <c r="C1163" s="133" t="s">
        <v>698</v>
      </c>
      <c r="D1163" s="133">
        <v>88267</v>
      </c>
      <c r="E1163" s="134" t="s">
        <v>506</v>
      </c>
      <c r="F1163" s="134" t="s">
        <v>601</v>
      </c>
      <c r="G1163" s="133"/>
      <c r="H1163" s="133" t="s">
        <v>412</v>
      </c>
      <c r="I1163" s="134"/>
      <c r="J1163" s="146"/>
      <c r="K1163" s="135">
        <f>SUM(K1165:K1172)</f>
        <v>32.130000000000003</v>
      </c>
    </row>
    <row r="1164" spans="1:11" ht="50.1" customHeight="1">
      <c r="A1164" s="128"/>
      <c r="B1164" s="129" t="s">
        <v>1691</v>
      </c>
      <c r="C1164" s="129" t="s">
        <v>1692</v>
      </c>
      <c r="D1164" s="129" t="s">
        <v>1693</v>
      </c>
      <c r="E1164" s="130" t="s">
        <v>0</v>
      </c>
      <c r="F1164" s="130" t="s">
        <v>1694</v>
      </c>
      <c r="G1164" s="129"/>
      <c r="H1164" s="129" t="s">
        <v>1695</v>
      </c>
      <c r="I1164" s="130" t="s">
        <v>1696</v>
      </c>
      <c r="J1164" s="130" t="s">
        <v>1697</v>
      </c>
      <c r="K1164" s="131" t="s">
        <v>1698</v>
      </c>
    </row>
    <row r="1165" spans="1:11">
      <c r="A1165" s="136" t="s">
        <v>1208</v>
      </c>
      <c r="B1165" s="137" t="s">
        <v>792</v>
      </c>
      <c r="C1165" s="137" t="s">
        <v>698</v>
      </c>
      <c r="D1165" s="137">
        <v>2696</v>
      </c>
      <c r="E1165" s="136" t="s">
        <v>1979</v>
      </c>
      <c r="F1165" s="1033" t="s">
        <v>1702</v>
      </c>
      <c r="G1165" s="1034"/>
      <c r="H1165" s="137" t="s">
        <v>412</v>
      </c>
      <c r="I1165" s="136">
        <v>1</v>
      </c>
      <c r="J1165" s="136">
        <v>24.73</v>
      </c>
      <c r="K1165" s="138">
        <f>I1165*J1165</f>
        <v>24.73</v>
      </c>
    </row>
    <row r="1166" spans="1:11">
      <c r="A1166" s="136" t="s">
        <v>1208</v>
      </c>
      <c r="B1166" s="137" t="s">
        <v>792</v>
      </c>
      <c r="C1166" s="137" t="s">
        <v>698</v>
      </c>
      <c r="D1166" s="137">
        <v>37370</v>
      </c>
      <c r="E1166" s="136" t="s">
        <v>653</v>
      </c>
      <c r="F1166" s="1033" t="s">
        <v>1703</v>
      </c>
      <c r="G1166" s="1034"/>
      <c r="H1166" s="137" t="s">
        <v>412</v>
      </c>
      <c r="I1166" s="136">
        <v>1</v>
      </c>
      <c r="J1166" s="136">
        <v>3.91</v>
      </c>
      <c r="K1166" s="138">
        <f t="shared" ref="K1166:K1172" si="102">I1166*J1166</f>
        <v>3.91</v>
      </c>
    </row>
    <row r="1167" spans="1:11">
      <c r="A1167" s="136" t="s">
        <v>1208</v>
      </c>
      <c r="B1167" s="137" t="s">
        <v>792</v>
      </c>
      <c r="C1167" s="137" t="s">
        <v>698</v>
      </c>
      <c r="D1167" s="137">
        <v>37371</v>
      </c>
      <c r="E1167" s="136" t="s">
        <v>654</v>
      </c>
      <c r="F1167" s="1033" t="s">
        <v>1889</v>
      </c>
      <c r="G1167" s="1034"/>
      <c r="H1167" s="137" t="s">
        <v>412</v>
      </c>
      <c r="I1167" s="136">
        <v>1</v>
      </c>
      <c r="J1167" s="136">
        <v>1</v>
      </c>
      <c r="K1167" s="138">
        <f t="shared" si="102"/>
        <v>1</v>
      </c>
    </row>
    <row r="1168" spans="1:11">
      <c r="A1168" s="136" t="s">
        <v>1208</v>
      </c>
      <c r="B1168" s="137" t="s">
        <v>792</v>
      </c>
      <c r="C1168" s="137" t="s">
        <v>698</v>
      </c>
      <c r="D1168" s="137">
        <v>37372</v>
      </c>
      <c r="E1168" s="136" t="s">
        <v>655</v>
      </c>
      <c r="F1168" s="1033" t="s">
        <v>1703</v>
      </c>
      <c r="G1168" s="1034"/>
      <c r="H1168" s="137" t="s">
        <v>412</v>
      </c>
      <c r="I1168" s="136">
        <v>1</v>
      </c>
      <c r="J1168" s="136">
        <v>0.81</v>
      </c>
      <c r="K1168" s="138">
        <f t="shared" si="102"/>
        <v>0.81</v>
      </c>
    </row>
    <row r="1169" spans="1:11">
      <c r="A1169" s="136" t="s">
        <v>1208</v>
      </c>
      <c r="B1169" s="137" t="s">
        <v>792</v>
      </c>
      <c r="C1169" s="137" t="s">
        <v>698</v>
      </c>
      <c r="D1169" s="137">
        <v>37373</v>
      </c>
      <c r="E1169" s="136" t="s">
        <v>656</v>
      </c>
      <c r="F1169" s="1033" t="s">
        <v>1890</v>
      </c>
      <c r="G1169" s="1034"/>
      <c r="H1169" s="137" t="s">
        <v>412</v>
      </c>
      <c r="I1169" s="136">
        <v>1</v>
      </c>
      <c r="J1169" s="136">
        <v>0.06</v>
      </c>
      <c r="K1169" s="138">
        <f t="shared" si="102"/>
        <v>0.06</v>
      </c>
    </row>
    <row r="1170" spans="1:11">
      <c r="A1170" s="136" t="s">
        <v>1208</v>
      </c>
      <c r="B1170" s="137" t="s">
        <v>792</v>
      </c>
      <c r="C1170" s="137" t="s">
        <v>698</v>
      </c>
      <c r="D1170" s="137">
        <v>43461</v>
      </c>
      <c r="E1170" s="136" t="s">
        <v>660</v>
      </c>
      <c r="F1170" s="1033" t="s">
        <v>1704</v>
      </c>
      <c r="G1170" s="1034"/>
      <c r="H1170" s="137" t="s">
        <v>412</v>
      </c>
      <c r="I1170" s="136">
        <v>1</v>
      </c>
      <c r="J1170" s="136">
        <v>0.32</v>
      </c>
      <c r="K1170" s="138">
        <f t="shared" si="102"/>
        <v>0.32</v>
      </c>
    </row>
    <row r="1171" spans="1:11">
      <c r="A1171" s="136" t="s">
        <v>1208</v>
      </c>
      <c r="B1171" s="137" t="s">
        <v>792</v>
      </c>
      <c r="C1171" s="137" t="s">
        <v>698</v>
      </c>
      <c r="D1171" s="137">
        <v>43485</v>
      </c>
      <c r="E1171" s="136" t="s">
        <v>1917</v>
      </c>
      <c r="F1171" s="1033" t="s">
        <v>1704</v>
      </c>
      <c r="G1171" s="1034"/>
      <c r="H1171" s="137" t="s">
        <v>412</v>
      </c>
      <c r="I1171" s="136">
        <v>1</v>
      </c>
      <c r="J1171" s="136">
        <v>0.94</v>
      </c>
      <c r="K1171" s="138">
        <f t="shared" si="102"/>
        <v>0.94</v>
      </c>
    </row>
    <row r="1172" spans="1:11" ht="24.75">
      <c r="A1172" s="136" t="s">
        <v>1208</v>
      </c>
      <c r="B1172" s="137" t="s">
        <v>1705</v>
      </c>
      <c r="C1172" s="137" t="s">
        <v>698</v>
      </c>
      <c r="D1172" s="137">
        <v>95335</v>
      </c>
      <c r="E1172" s="136" t="s">
        <v>663</v>
      </c>
      <c r="F1172" s="1033" t="s">
        <v>1706</v>
      </c>
      <c r="G1172" s="1034"/>
      <c r="H1172" s="137" t="s">
        <v>412</v>
      </c>
      <c r="I1172" s="136">
        <v>1</v>
      </c>
      <c r="J1172" s="136">
        <v>0.36</v>
      </c>
      <c r="K1172" s="138">
        <f t="shared" si="102"/>
        <v>0.36</v>
      </c>
    </row>
    <row r="1173" spans="1:11">
      <c r="A1173" s="139"/>
      <c r="E1173" s="139"/>
      <c r="F1173" s="139"/>
      <c r="I1173" s="139"/>
      <c r="J1173" s="139"/>
      <c r="K1173" s="140"/>
    </row>
    <row r="1174" spans="1:11">
      <c r="A1174" s="139"/>
      <c r="E1174" s="139"/>
      <c r="F1174" s="139"/>
      <c r="I1174" s="139"/>
      <c r="J1174" s="139"/>
      <c r="K1174" s="140"/>
    </row>
    <row r="1175" spans="1:11" ht="31.5">
      <c r="A1175" s="132" t="s">
        <v>2021</v>
      </c>
      <c r="B1175" s="133" t="s">
        <v>1700</v>
      </c>
      <c r="C1175" s="133" t="s">
        <v>698</v>
      </c>
      <c r="D1175" s="133">
        <v>86887</v>
      </c>
      <c r="E1175" s="134" t="s">
        <v>580</v>
      </c>
      <c r="F1175" s="134" t="s">
        <v>516</v>
      </c>
      <c r="G1175" s="133"/>
      <c r="H1175" s="133" t="s">
        <v>411</v>
      </c>
      <c r="I1175" s="134"/>
      <c r="J1175" s="146"/>
      <c r="K1175" s="135">
        <f>SUM(K1177:K1180)</f>
        <v>46.203094</v>
      </c>
    </row>
    <row r="1176" spans="1:11" ht="50.1" customHeight="1">
      <c r="A1176" s="128"/>
      <c r="B1176" s="129" t="s">
        <v>1691</v>
      </c>
      <c r="C1176" s="129" t="s">
        <v>1692</v>
      </c>
      <c r="D1176" s="129" t="s">
        <v>1693</v>
      </c>
      <c r="E1176" s="130" t="s">
        <v>0</v>
      </c>
      <c r="F1176" s="130" t="s">
        <v>1694</v>
      </c>
      <c r="G1176" s="129"/>
      <c r="H1176" s="129" t="s">
        <v>1695</v>
      </c>
      <c r="I1176" s="130" t="s">
        <v>1696</v>
      </c>
      <c r="J1176" s="130" t="s">
        <v>1697</v>
      </c>
      <c r="K1176" s="131" t="s">
        <v>1698</v>
      </c>
    </row>
    <row r="1177" spans="1:11">
      <c r="A1177" s="136" t="s">
        <v>1208</v>
      </c>
      <c r="B1177" s="137" t="s">
        <v>792</v>
      </c>
      <c r="C1177" s="137" t="s">
        <v>698</v>
      </c>
      <c r="D1177" s="137">
        <v>3146</v>
      </c>
      <c r="E1177" s="136" t="s">
        <v>1771</v>
      </c>
      <c r="F1177" s="1033" t="s">
        <v>1703</v>
      </c>
      <c r="G1177" s="1034"/>
      <c r="H1177" s="137" t="s">
        <v>411</v>
      </c>
      <c r="I1177" s="136">
        <v>2.1000000000000001E-2</v>
      </c>
      <c r="J1177" s="136">
        <v>3.2</v>
      </c>
      <c r="K1177" s="138">
        <f>I1177*J1177</f>
        <v>6.720000000000001E-2</v>
      </c>
    </row>
    <row r="1178" spans="1:11">
      <c r="A1178" s="136" t="s">
        <v>1208</v>
      </c>
      <c r="B1178" s="137" t="s">
        <v>792</v>
      </c>
      <c r="C1178" s="137" t="s">
        <v>698</v>
      </c>
      <c r="D1178" s="137">
        <v>11684</v>
      </c>
      <c r="E1178" s="136" t="s">
        <v>2022</v>
      </c>
      <c r="F1178" s="1033" t="s">
        <v>1703</v>
      </c>
      <c r="G1178" s="1034"/>
      <c r="H1178" s="137" t="s">
        <v>411</v>
      </c>
      <c r="I1178" s="136">
        <v>1</v>
      </c>
      <c r="J1178" s="136">
        <v>40.01</v>
      </c>
      <c r="K1178" s="138">
        <f t="shared" ref="K1178:K1180" si="103">I1178*J1178</f>
        <v>40.01</v>
      </c>
    </row>
    <row r="1179" spans="1:11">
      <c r="A1179" s="136" t="s">
        <v>1208</v>
      </c>
      <c r="B1179" s="137" t="s">
        <v>1705</v>
      </c>
      <c r="C1179" s="137" t="s">
        <v>698</v>
      </c>
      <c r="D1179" s="137">
        <v>88267</v>
      </c>
      <c r="E1179" s="136" t="s">
        <v>506</v>
      </c>
      <c r="F1179" s="1033" t="s">
        <v>1706</v>
      </c>
      <c r="G1179" s="1034"/>
      <c r="H1179" s="137" t="s">
        <v>412</v>
      </c>
      <c r="I1179" s="136">
        <v>0.1525</v>
      </c>
      <c r="J1179" s="136">
        <v>32.130000000000003</v>
      </c>
      <c r="K1179" s="138">
        <f t="shared" si="103"/>
        <v>4.8998249999999999</v>
      </c>
    </row>
    <row r="1180" spans="1:11">
      <c r="A1180" s="136" t="s">
        <v>1208</v>
      </c>
      <c r="B1180" s="137" t="s">
        <v>1705</v>
      </c>
      <c r="C1180" s="137" t="s">
        <v>698</v>
      </c>
      <c r="D1180" s="137">
        <v>88316</v>
      </c>
      <c r="E1180" s="136" t="s">
        <v>414</v>
      </c>
      <c r="F1180" s="1033" t="s">
        <v>1706</v>
      </c>
      <c r="G1180" s="1034"/>
      <c r="H1180" s="137" t="s">
        <v>412</v>
      </c>
      <c r="I1180" s="136">
        <v>4.8099999999999997E-2</v>
      </c>
      <c r="J1180" s="136">
        <v>25.49</v>
      </c>
      <c r="K1180" s="138">
        <f t="shared" si="103"/>
        <v>1.2260689999999999</v>
      </c>
    </row>
    <row r="1181" spans="1:11">
      <c r="A1181" s="139"/>
      <c r="E1181" s="139"/>
      <c r="F1181" s="139"/>
      <c r="I1181" s="139"/>
      <c r="J1181" s="139"/>
      <c r="K1181" s="140"/>
    </row>
    <row r="1182" spans="1:11">
      <c r="A1182" s="139"/>
      <c r="E1182" s="139"/>
      <c r="F1182" s="139"/>
      <c r="I1182" s="139"/>
      <c r="J1182" s="139"/>
      <c r="K1182" s="140"/>
    </row>
    <row r="1183" spans="1:11" ht="47.25">
      <c r="A1183" s="132" t="s">
        <v>2023</v>
      </c>
      <c r="B1183" s="133" t="s">
        <v>1700</v>
      </c>
      <c r="C1183" s="133" t="s">
        <v>698</v>
      </c>
      <c r="D1183" s="133">
        <v>91304</v>
      </c>
      <c r="E1183" s="134" t="s">
        <v>455</v>
      </c>
      <c r="F1183" s="134" t="s">
        <v>450</v>
      </c>
      <c r="G1183" s="133"/>
      <c r="H1183" s="133" t="s">
        <v>411</v>
      </c>
      <c r="I1183" s="134"/>
      <c r="J1183" s="146"/>
      <c r="K1183" s="135">
        <f>SUM(K1185:K1187)</f>
        <v>122.11904999999999</v>
      </c>
    </row>
    <row r="1184" spans="1:11" ht="50.1" customHeight="1">
      <c r="A1184" s="128"/>
      <c r="B1184" s="129" t="s">
        <v>1691</v>
      </c>
      <c r="C1184" s="129" t="s">
        <v>1692</v>
      </c>
      <c r="D1184" s="129" t="s">
        <v>1693</v>
      </c>
      <c r="E1184" s="130" t="s">
        <v>0</v>
      </c>
      <c r="F1184" s="130" t="s">
        <v>1694</v>
      </c>
      <c r="G1184" s="129"/>
      <c r="H1184" s="129" t="s">
        <v>1695</v>
      </c>
      <c r="I1184" s="130" t="s">
        <v>1696</v>
      </c>
      <c r="J1184" s="130" t="s">
        <v>1697</v>
      </c>
      <c r="K1184" s="131" t="s">
        <v>1698</v>
      </c>
    </row>
    <row r="1185" spans="1:11" ht="36.75">
      <c r="A1185" s="136" t="s">
        <v>1208</v>
      </c>
      <c r="B1185" s="137" t="s">
        <v>792</v>
      </c>
      <c r="C1185" s="137" t="s">
        <v>698</v>
      </c>
      <c r="D1185" s="137">
        <v>3080</v>
      </c>
      <c r="E1185" s="136" t="s">
        <v>2024</v>
      </c>
      <c r="F1185" s="1033" t="s">
        <v>1703</v>
      </c>
      <c r="G1185" s="1034"/>
      <c r="H1185" s="137" t="s">
        <v>2025</v>
      </c>
      <c r="I1185" s="136">
        <v>1</v>
      </c>
      <c r="J1185" s="136">
        <v>75</v>
      </c>
      <c r="K1185" s="138">
        <f>I1185*J1185</f>
        <v>75</v>
      </c>
    </row>
    <row r="1186" spans="1:11">
      <c r="A1186" s="136" t="s">
        <v>1208</v>
      </c>
      <c r="B1186" s="137" t="s">
        <v>1705</v>
      </c>
      <c r="C1186" s="137" t="s">
        <v>698</v>
      </c>
      <c r="D1186" s="137">
        <v>88261</v>
      </c>
      <c r="E1186" s="136" t="s">
        <v>451</v>
      </c>
      <c r="F1186" s="1033" t="s">
        <v>1706</v>
      </c>
      <c r="G1186" s="1034"/>
      <c r="H1186" s="137" t="s">
        <v>412</v>
      </c>
      <c r="I1186" s="136">
        <v>1.002</v>
      </c>
      <c r="J1186" s="136">
        <v>34.28</v>
      </c>
      <c r="K1186" s="138">
        <f t="shared" ref="K1186:K1187" si="104">I1186*J1186</f>
        <v>34.348559999999999</v>
      </c>
    </row>
    <row r="1187" spans="1:11">
      <c r="A1187" s="136" t="s">
        <v>1208</v>
      </c>
      <c r="B1187" s="137" t="s">
        <v>1705</v>
      </c>
      <c r="C1187" s="137" t="s">
        <v>698</v>
      </c>
      <c r="D1187" s="137">
        <v>88316</v>
      </c>
      <c r="E1187" s="136" t="s">
        <v>414</v>
      </c>
      <c r="F1187" s="1033" t="s">
        <v>1706</v>
      </c>
      <c r="G1187" s="1034"/>
      <c r="H1187" s="137" t="s">
        <v>412</v>
      </c>
      <c r="I1187" s="136">
        <v>0.501</v>
      </c>
      <c r="J1187" s="136">
        <v>25.49</v>
      </c>
      <c r="K1187" s="138">
        <f t="shared" si="104"/>
        <v>12.770489999999999</v>
      </c>
    </row>
    <row r="1188" spans="1:11">
      <c r="A1188" s="139"/>
      <c r="E1188" s="139"/>
      <c r="F1188" s="139"/>
      <c r="I1188" s="139"/>
      <c r="J1188" s="139"/>
      <c r="K1188" s="140"/>
    </row>
    <row r="1189" spans="1:11">
      <c r="A1189" s="139"/>
      <c r="E1189" s="139"/>
      <c r="F1189" s="139"/>
      <c r="I1189" s="139"/>
      <c r="J1189" s="139"/>
      <c r="K1189" s="140"/>
    </row>
    <row r="1190" spans="1:11" ht="47.25">
      <c r="A1190" s="132" t="s">
        <v>2026</v>
      </c>
      <c r="B1190" s="133" t="s">
        <v>1700</v>
      </c>
      <c r="C1190" s="133" t="s">
        <v>698</v>
      </c>
      <c r="D1190" s="133">
        <v>91307</v>
      </c>
      <c r="E1190" s="134" t="s">
        <v>456</v>
      </c>
      <c r="F1190" s="134" t="s">
        <v>450</v>
      </c>
      <c r="G1190" s="133"/>
      <c r="H1190" s="133" t="s">
        <v>411</v>
      </c>
      <c r="I1190" s="134"/>
      <c r="J1190" s="146"/>
      <c r="K1190" s="135">
        <f>SUM(K1192:K1194)</f>
        <v>103.02092</v>
      </c>
    </row>
    <row r="1191" spans="1:11" ht="50.1" customHeight="1">
      <c r="A1191" s="128"/>
      <c r="B1191" s="129" t="s">
        <v>1691</v>
      </c>
      <c r="C1191" s="129" t="s">
        <v>1692</v>
      </c>
      <c r="D1191" s="129" t="s">
        <v>1693</v>
      </c>
      <c r="E1191" s="130" t="s">
        <v>0</v>
      </c>
      <c r="F1191" s="130" t="s">
        <v>1694</v>
      </c>
      <c r="G1191" s="129"/>
      <c r="H1191" s="129" t="s">
        <v>1695</v>
      </c>
      <c r="I1191" s="130" t="s">
        <v>1696</v>
      </c>
      <c r="J1191" s="130" t="s">
        <v>1697</v>
      </c>
      <c r="K1191" s="131" t="s">
        <v>1698</v>
      </c>
    </row>
    <row r="1192" spans="1:11" ht="36.75">
      <c r="A1192" s="136" t="s">
        <v>1208</v>
      </c>
      <c r="B1192" s="137" t="s">
        <v>792</v>
      </c>
      <c r="C1192" s="137" t="s">
        <v>698</v>
      </c>
      <c r="D1192" s="137">
        <v>3090</v>
      </c>
      <c r="E1192" s="136" t="s">
        <v>2027</v>
      </c>
      <c r="F1192" s="1033" t="s">
        <v>1703</v>
      </c>
      <c r="G1192" s="1034"/>
      <c r="H1192" s="137" t="s">
        <v>2025</v>
      </c>
      <c r="I1192" s="136">
        <v>1</v>
      </c>
      <c r="J1192" s="136">
        <v>66.94</v>
      </c>
      <c r="K1192" s="138">
        <f>J1192*I1192</f>
        <v>66.94</v>
      </c>
    </row>
    <row r="1193" spans="1:11">
      <c r="A1193" s="136" t="s">
        <v>1208</v>
      </c>
      <c r="B1193" s="137" t="s">
        <v>1705</v>
      </c>
      <c r="C1193" s="137" t="s">
        <v>698</v>
      </c>
      <c r="D1193" s="137">
        <v>88261</v>
      </c>
      <c r="E1193" s="136" t="s">
        <v>451</v>
      </c>
      <c r="F1193" s="1033" t="s">
        <v>1706</v>
      </c>
      <c r="G1193" s="1034"/>
      <c r="H1193" s="137" t="s">
        <v>412</v>
      </c>
      <c r="I1193" s="136">
        <v>0.76700000000000002</v>
      </c>
      <c r="J1193" s="136">
        <v>34.28</v>
      </c>
      <c r="K1193" s="138">
        <f t="shared" ref="K1193:K1194" si="105">J1193*I1193</f>
        <v>26.292760000000001</v>
      </c>
    </row>
    <row r="1194" spans="1:11">
      <c r="A1194" s="136" t="s">
        <v>1208</v>
      </c>
      <c r="B1194" s="137" t="s">
        <v>1705</v>
      </c>
      <c r="C1194" s="137" t="s">
        <v>698</v>
      </c>
      <c r="D1194" s="137">
        <v>88316</v>
      </c>
      <c r="E1194" s="136" t="s">
        <v>414</v>
      </c>
      <c r="F1194" s="1033" t="s">
        <v>1706</v>
      </c>
      <c r="G1194" s="1034"/>
      <c r="H1194" s="137" t="s">
        <v>412</v>
      </c>
      <c r="I1194" s="136">
        <v>0.38400000000000001</v>
      </c>
      <c r="J1194" s="136">
        <v>25.49</v>
      </c>
      <c r="K1194" s="138">
        <f t="shared" si="105"/>
        <v>9.7881599999999995</v>
      </c>
    </row>
    <row r="1195" spans="1:11">
      <c r="A1195" s="139"/>
      <c r="E1195" s="139"/>
      <c r="F1195" s="139"/>
      <c r="I1195" s="139"/>
      <c r="J1195" s="139"/>
      <c r="K1195" s="140"/>
    </row>
    <row r="1196" spans="1:11">
      <c r="A1196" s="139"/>
      <c r="E1196" s="139"/>
      <c r="F1196" s="139"/>
      <c r="I1196" s="139"/>
      <c r="J1196" s="139"/>
      <c r="K1196" s="140"/>
    </row>
    <row r="1197" spans="1:11" ht="15.75">
      <c r="A1197" s="132" t="s">
        <v>2028</v>
      </c>
      <c r="B1197" s="133" t="s">
        <v>1700</v>
      </c>
      <c r="C1197" s="133" t="s">
        <v>698</v>
      </c>
      <c r="D1197" s="133">
        <v>88269</v>
      </c>
      <c r="E1197" s="134" t="s">
        <v>632</v>
      </c>
      <c r="F1197" s="134" t="s">
        <v>601</v>
      </c>
      <c r="G1197" s="133"/>
      <c r="H1197" s="133" t="s">
        <v>412</v>
      </c>
      <c r="I1197" s="134"/>
      <c r="J1197" s="146"/>
      <c r="K1197" s="135">
        <f>SUM(K1199:K1206)</f>
        <v>31.809999999999995</v>
      </c>
    </row>
    <row r="1198" spans="1:11" ht="50.1" customHeight="1">
      <c r="A1198" s="128"/>
      <c r="B1198" s="129" t="s">
        <v>1691</v>
      </c>
      <c r="C1198" s="129" t="s">
        <v>1692</v>
      </c>
      <c r="D1198" s="129" t="s">
        <v>1693</v>
      </c>
      <c r="E1198" s="130" t="s">
        <v>0</v>
      </c>
      <c r="F1198" s="130" t="s">
        <v>1694</v>
      </c>
      <c r="G1198" s="129"/>
      <c r="H1198" s="129" t="s">
        <v>1695</v>
      </c>
      <c r="I1198" s="130" t="s">
        <v>1696</v>
      </c>
      <c r="J1198" s="130" t="s">
        <v>1697</v>
      </c>
      <c r="K1198" s="131" t="s">
        <v>1698</v>
      </c>
    </row>
    <row r="1199" spans="1:11">
      <c r="A1199" s="136" t="s">
        <v>1208</v>
      </c>
      <c r="B1199" s="137" t="s">
        <v>792</v>
      </c>
      <c r="C1199" s="137" t="s">
        <v>698</v>
      </c>
      <c r="D1199" s="137">
        <v>12872</v>
      </c>
      <c r="E1199" s="136" t="s">
        <v>1984</v>
      </c>
      <c r="F1199" s="1033" t="s">
        <v>1702</v>
      </c>
      <c r="G1199" s="1034"/>
      <c r="H1199" s="137" t="s">
        <v>412</v>
      </c>
      <c r="I1199" s="136">
        <v>1</v>
      </c>
      <c r="J1199" s="136">
        <v>23.98</v>
      </c>
      <c r="K1199" s="138">
        <f>I1199*J1199</f>
        <v>23.98</v>
      </c>
    </row>
    <row r="1200" spans="1:11">
      <c r="A1200" s="136" t="s">
        <v>1208</v>
      </c>
      <c r="B1200" s="137" t="s">
        <v>792</v>
      </c>
      <c r="C1200" s="137" t="s">
        <v>698</v>
      </c>
      <c r="D1200" s="137">
        <v>37370</v>
      </c>
      <c r="E1200" s="136" t="s">
        <v>653</v>
      </c>
      <c r="F1200" s="1033" t="s">
        <v>1703</v>
      </c>
      <c r="G1200" s="1034"/>
      <c r="H1200" s="137" t="s">
        <v>412</v>
      </c>
      <c r="I1200" s="136">
        <v>1</v>
      </c>
      <c r="J1200" s="136">
        <v>3.91</v>
      </c>
      <c r="K1200" s="138">
        <f t="shared" ref="K1200:K1206" si="106">I1200*J1200</f>
        <v>3.91</v>
      </c>
    </row>
    <row r="1201" spans="1:11">
      <c r="A1201" s="136" t="s">
        <v>1208</v>
      </c>
      <c r="B1201" s="137" t="s">
        <v>792</v>
      </c>
      <c r="C1201" s="137" t="s">
        <v>698</v>
      </c>
      <c r="D1201" s="137">
        <v>37371</v>
      </c>
      <c r="E1201" s="136" t="s">
        <v>654</v>
      </c>
      <c r="F1201" s="1033" t="s">
        <v>1889</v>
      </c>
      <c r="G1201" s="1034"/>
      <c r="H1201" s="137" t="s">
        <v>412</v>
      </c>
      <c r="I1201" s="136">
        <v>1</v>
      </c>
      <c r="J1201" s="136">
        <v>1</v>
      </c>
      <c r="K1201" s="138">
        <f t="shared" si="106"/>
        <v>1</v>
      </c>
    </row>
    <row r="1202" spans="1:11">
      <c r="A1202" s="136" t="s">
        <v>1208</v>
      </c>
      <c r="B1202" s="137" t="s">
        <v>792</v>
      </c>
      <c r="C1202" s="137" t="s">
        <v>698</v>
      </c>
      <c r="D1202" s="137">
        <v>37372</v>
      </c>
      <c r="E1202" s="136" t="s">
        <v>655</v>
      </c>
      <c r="F1202" s="1033" t="s">
        <v>1703</v>
      </c>
      <c r="G1202" s="1034"/>
      <c r="H1202" s="137" t="s">
        <v>412</v>
      </c>
      <c r="I1202" s="136">
        <v>1</v>
      </c>
      <c r="J1202" s="136">
        <v>0.81</v>
      </c>
      <c r="K1202" s="138">
        <f t="shared" si="106"/>
        <v>0.81</v>
      </c>
    </row>
    <row r="1203" spans="1:11">
      <c r="A1203" s="136" t="s">
        <v>1208</v>
      </c>
      <c r="B1203" s="137" t="s">
        <v>792</v>
      </c>
      <c r="C1203" s="137" t="s">
        <v>698</v>
      </c>
      <c r="D1203" s="137">
        <v>37373</v>
      </c>
      <c r="E1203" s="136" t="s">
        <v>656</v>
      </c>
      <c r="F1203" s="1033" t="s">
        <v>1890</v>
      </c>
      <c r="G1203" s="1034"/>
      <c r="H1203" s="137" t="s">
        <v>412</v>
      </c>
      <c r="I1203" s="136">
        <v>1</v>
      </c>
      <c r="J1203" s="136">
        <v>0.06</v>
      </c>
      <c r="K1203" s="138">
        <f t="shared" si="106"/>
        <v>0.06</v>
      </c>
    </row>
    <row r="1204" spans="1:11">
      <c r="A1204" s="136" t="s">
        <v>1208</v>
      </c>
      <c r="B1204" s="137" t="s">
        <v>792</v>
      </c>
      <c r="C1204" s="137" t="s">
        <v>698</v>
      </c>
      <c r="D1204" s="137">
        <v>43465</v>
      </c>
      <c r="E1204" s="136" t="s">
        <v>1920</v>
      </c>
      <c r="F1204" s="1033" t="s">
        <v>1704</v>
      </c>
      <c r="G1204" s="1034"/>
      <c r="H1204" s="137" t="s">
        <v>412</v>
      </c>
      <c r="I1204" s="136">
        <v>1</v>
      </c>
      <c r="J1204" s="136">
        <v>0.74</v>
      </c>
      <c r="K1204" s="138">
        <f t="shared" si="106"/>
        <v>0.74</v>
      </c>
    </row>
    <row r="1205" spans="1:11">
      <c r="A1205" s="136" t="s">
        <v>1208</v>
      </c>
      <c r="B1205" s="137" t="s">
        <v>792</v>
      </c>
      <c r="C1205" s="137" t="s">
        <v>698</v>
      </c>
      <c r="D1205" s="137">
        <v>43489</v>
      </c>
      <c r="E1205" s="136" t="s">
        <v>1921</v>
      </c>
      <c r="F1205" s="1033" t="s">
        <v>1704</v>
      </c>
      <c r="G1205" s="1034"/>
      <c r="H1205" s="137" t="s">
        <v>412</v>
      </c>
      <c r="I1205" s="136">
        <v>1</v>
      </c>
      <c r="J1205" s="136">
        <v>1.0900000000000001</v>
      </c>
      <c r="K1205" s="138">
        <f t="shared" si="106"/>
        <v>1.0900000000000001</v>
      </c>
    </row>
    <row r="1206" spans="1:11">
      <c r="A1206" s="136" t="s">
        <v>1208</v>
      </c>
      <c r="B1206" s="137" t="s">
        <v>1705</v>
      </c>
      <c r="C1206" s="137" t="s">
        <v>698</v>
      </c>
      <c r="D1206" s="137">
        <v>95337</v>
      </c>
      <c r="E1206" s="136" t="s">
        <v>1983</v>
      </c>
      <c r="F1206" s="1033" t="s">
        <v>1706</v>
      </c>
      <c r="G1206" s="1034"/>
      <c r="H1206" s="137" t="s">
        <v>412</v>
      </c>
      <c r="I1206" s="136">
        <v>1</v>
      </c>
      <c r="J1206" s="136">
        <v>0.22</v>
      </c>
      <c r="K1206" s="138">
        <f t="shared" si="106"/>
        <v>0.22</v>
      </c>
    </row>
    <row r="1207" spans="1:11">
      <c r="A1207" s="139"/>
      <c r="E1207" s="139"/>
      <c r="F1207" s="139"/>
      <c r="I1207" s="139"/>
      <c r="J1207" s="139"/>
      <c r="K1207" s="140"/>
    </row>
    <row r="1208" spans="1:11">
      <c r="A1208" s="139"/>
      <c r="E1208" s="139"/>
      <c r="F1208" s="139"/>
      <c r="I1208" s="139"/>
      <c r="J1208" s="139"/>
      <c r="K1208" s="140"/>
    </row>
    <row r="1209" spans="1:11" ht="15.75">
      <c r="A1209" s="132" t="s">
        <v>2029</v>
      </c>
      <c r="B1209" s="133" t="s">
        <v>1700</v>
      </c>
      <c r="C1209" s="133" t="s">
        <v>698</v>
      </c>
      <c r="D1209" s="133">
        <v>88270</v>
      </c>
      <c r="E1209" s="134" t="s">
        <v>469</v>
      </c>
      <c r="F1209" s="134" t="s">
        <v>601</v>
      </c>
      <c r="G1209" s="133"/>
      <c r="H1209" s="133" t="s">
        <v>412</v>
      </c>
      <c r="I1209" s="134"/>
      <c r="J1209" s="146"/>
      <c r="K1209" s="135">
        <f>SUM(K1211:K1218)</f>
        <v>32.76</v>
      </c>
    </row>
    <row r="1210" spans="1:11" ht="50.1" customHeight="1">
      <c r="A1210" s="128"/>
      <c r="B1210" s="129" t="s">
        <v>1691</v>
      </c>
      <c r="C1210" s="129" t="s">
        <v>1692</v>
      </c>
      <c r="D1210" s="129" t="s">
        <v>1693</v>
      </c>
      <c r="E1210" s="130" t="s">
        <v>0</v>
      </c>
      <c r="F1210" s="130" t="s">
        <v>1694</v>
      </c>
      <c r="G1210" s="129"/>
      <c r="H1210" s="129" t="s">
        <v>1695</v>
      </c>
      <c r="I1210" s="130" t="s">
        <v>1696</v>
      </c>
      <c r="J1210" s="130" t="s">
        <v>1697</v>
      </c>
      <c r="K1210" s="131" t="s">
        <v>1698</v>
      </c>
    </row>
    <row r="1211" spans="1:11">
      <c r="A1211" s="136" t="s">
        <v>1208</v>
      </c>
      <c r="B1211" s="137" t="s">
        <v>792</v>
      </c>
      <c r="C1211" s="137" t="s">
        <v>698</v>
      </c>
      <c r="D1211" s="137">
        <v>12873</v>
      </c>
      <c r="E1211" s="136" t="s">
        <v>1987</v>
      </c>
      <c r="F1211" s="1033" t="s">
        <v>1702</v>
      </c>
      <c r="G1211" s="1034"/>
      <c r="H1211" s="137" t="s">
        <v>412</v>
      </c>
      <c r="I1211" s="136">
        <v>1</v>
      </c>
      <c r="J1211" s="136">
        <v>24.73</v>
      </c>
      <c r="K1211" s="138">
        <f>I1211*J1211</f>
        <v>24.73</v>
      </c>
    </row>
    <row r="1212" spans="1:11">
      <c r="A1212" s="136" t="s">
        <v>1208</v>
      </c>
      <c r="B1212" s="137" t="s">
        <v>792</v>
      </c>
      <c r="C1212" s="137" t="s">
        <v>698</v>
      </c>
      <c r="D1212" s="137">
        <v>37370</v>
      </c>
      <c r="E1212" s="136" t="s">
        <v>653</v>
      </c>
      <c r="F1212" s="1033" t="s">
        <v>1703</v>
      </c>
      <c r="G1212" s="1034"/>
      <c r="H1212" s="137" t="s">
        <v>412</v>
      </c>
      <c r="I1212" s="136">
        <v>1</v>
      </c>
      <c r="J1212" s="136">
        <v>3.91</v>
      </c>
      <c r="K1212" s="138">
        <f t="shared" ref="K1212:K1218" si="107">I1212*J1212</f>
        <v>3.91</v>
      </c>
    </row>
    <row r="1213" spans="1:11">
      <c r="A1213" s="136" t="s">
        <v>1208</v>
      </c>
      <c r="B1213" s="137" t="s">
        <v>792</v>
      </c>
      <c r="C1213" s="137" t="s">
        <v>698</v>
      </c>
      <c r="D1213" s="137">
        <v>37371</v>
      </c>
      <c r="E1213" s="136" t="s">
        <v>654</v>
      </c>
      <c r="F1213" s="1033" t="s">
        <v>1889</v>
      </c>
      <c r="G1213" s="1034"/>
      <c r="H1213" s="137" t="s">
        <v>412</v>
      </c>
      <c r="I1213" s="136">
        <v>1</v>
      </c>
      <c r="J1213" s="136">
        <v>1</v>
      </c>
      <c r="K1213" s="138">
        <f t="shared" si="107"/>
        <v>1</v>
      </c>
    </row>
    <row r="1214" spans="1:11">
      <c r="A1214" s="136" t="s">
        <v>1208</v>
      </c>
      <c r="B1214" s="137" t="s">
        <v>792</v>
      </c>
      <c r="C1214" s="137" t="s">
        <v>698</v>
      </c>
      <c r="D1214" s="137">
        <v>37372</v>
      </c>
      <c r="E1214" s="136" t="s">
        <v>655</v>
      </c>
      <c r="F1214" s="1033" t="s">
        <v>1703</v>
      </c>
      <c r="G1214" s="1034"/>
      <c r="H1214" s="137" t="s">
        <v>412</v>
      </c>
      <c r="I1214" s="136">
        <v>1</v>
      </c>
      <c r="J1214" s="136">
        <v>0.81</v>
      </c>
      <c r="K1214" s="138">
        <f t="shared" si="107"/>
        <v>0.81</v>
      </c>
    </row>
    <row r="1215" spans="1:11">
      <c r="A1215" s="136" t="s">
        <v>1208</v>
      </c>
      <c r="B1215" s="137" t="s">
        <v>792</v>
      </c>
      <c r="C1215" s="137" t="s">
        <v>698</v>
      </c>
      <c r="D1215" s="137">
        <v>37373</v>
      </c>
      <c r="E1215" s="136" t="s">
        <v>656</v>
      </c>
      <c r="F1215" s="1033" t="s">
        <v>1890</v>
      </c>
      <c r="G1215" s="1034"/>
      <c r="H1215" s="137" t="s">
        <v>412</v>
      </c>
      <c r="I1215" s="136">
        <v>1</v>
      </c>
      <c r="J1215" s="136">
        <v>0.06</v>
      </c>
      <c r="K1215" s="138">
        <f t="shared" si="107"/>
        <v>0.06</v>
      </c>
    </row>
    <row r="1216" spans="1:11">
      <c r="A1216" s="136" t="s">
        <v>1208</v>
      </c>
      <c r="B1216" s="137" t="s">
        <v>792</v>
      </c>
      <c r="C1216" s="137" t="s">
        <v>698</v>
      </c>
      <c r="D1216" s="137">
        <v>43465</v>
      </c>
      <c r="E1216" s="136" t="s">
        <v>1920</v>
      </c>
      <c r="F1216" s="1033" t="s">
        <v>1704</v>
      </c>
      <c r="G1216" s="1034"/>
      <c r="H1216" s="137" t="s">
        <v>412</v>
      </c>
      <c r="I1216" s="136">
        <v>1</v>
      </c>
      <c r="J1216" s="136">
        <v>0.74</v>
      </c>
      <c r="K1216" s="138">
        <f t="shared" si="107"/>
        <v>0.74</v>
      </c>
    </row>
    <row r="1217" spans="1:11">
      <c r="A1217" s="136" t="s">
        <v>1208</v>
      </c>
      <c r="B1217" s="137" t="s">
        <v>792</v>
      </c>
      <c r="C1217" s="137" t="s">
        <v>698</v>
      </c>
      <c r="D1217" s="137">
        <v>43489</v>
      </c>
      <c r="E1217" s="136" t="s">
        <v>1921</v>
      </c>
      <c r="F1217" s="1033" t="s">
        <v>1704</v>
      </c>
      <c r="G1217" s="1034"/>
      <c r="H1217" s="137" t="s">
        <v>412</v>
      </c>
      <c r="I1217" s="136">
        <v>1</v>
      </c>
      <c r="J1217" s="136">
        <v>1.0900000000000001</v>
      </c>
      <c r="K1217" s="138">
        <f t="shared" si="107"/>
        <v>1.0900000000000001</v>
      </c>
    </row>
    <row r="1218" spans="1:11">
      <c r="A1218" s="136" t="s">
        <v>1208</v>
      </c>
      <c r="B1218" s="137" t="s">
        <v>1705</v>
      </c>
      <c r="C1218" s="137" t="s">
        <v>698</v>
      </c>
      <c r="D1218" s="137">
        <v>95338</v>
      </c>
      <c r="E1218" s="136" t="s">
        <v>1986</v>
      </c>
      <c r="F1218" s="1033" t="s">
        <v>1706</v>
      </c>
      <c r="G1218" s="1034"/>
      <c r="H1218" s="137" t="s">
        <v>412</v>
      </c>
      <c r="I1218" s="136">
        <v>1</v>
      </c>
      <c r="J1218" s="136">
        <v>0.42</v>
      </c>
      <c r="K1218" s="138">
        <f t="shared" si="107"/>
        <v>0.42</v>
      </c>
    </row>
    <row r="1219" spans="1:11">
      <c r="A1219" s="139"/>
      <c r="E1219" s="139"/>
      <c r="F1219" s="139"/>
      <c r="I1219" s="139"/>
      <c r="J1219" s="139"/>
      <c r="K1219" s="140"/>
    </row>
    <row r="1220" spans="1:11">
      <c r="A1220" s="139"/>
      <c r="E1220" s="139"/>
      <c r="F1220" s="139"/>
      <c r="I1220" s="139"/>
      <c r="J1220" s="139"/>
      <c r="K1220" s="140"/>
    </row>
    <row r="1221" spans="1:11" ht="63">
      <c r="A1221" s="132" t="s">
        <v>2030</v>
      </c>
      <c r="B1221" s="133" t="s">
        <v>1700</v>
      </c>
      <c r="C1221" s="133" t="s">
        <v>698</v>
      </c>
      <c r="D1221" s="133">
        <v>91978</v>
      </c>
      <c r="E1221" s="134" t="s">
        <v>486</v>
      </c>
      <c r="F1221" s="134" t="s">
        <v>1852</v>
      </c>
      <c r="G1221" s="133"/>
      <c r="H1221" s="133" t="s">
        <v>411</v>
      </c>
      <c r="I1221" s="134"/>
      <c r="J1221" s="146"/>
      <c r="K1221" s="135">
        <f>SUM(K1223:K1225)</f>
        <v>42.5105</v>
      </c>
    </row>
    <row r="1222" spans="1:11" ht="50.1" customHeight="1">
      <c r="A1222" s="128"/>
      <c r="B1222" s="129" t="s">
        <v>1691</v>
      </c>
      <c r="C1222" s="129" t="s">
        <v>1692</v>
      </c>
      <c r="D1222" s="129" t="s">
        <v>1693</v>
      </c>
      <c r="E1222" s="130" t="s">
        <v>0</v>
      </c>
      <c r="F1222" s="130" t="s">
        <v>1694</v>
      </c>
      <c r="G1222" s="129"/>
      <c r="H1222" s="129" t="s">
        <v>1695</v>
      </c>
      <c r="I1222" s="130" t="s">
        <v>1696</v>
      </c>
      <c r="J1222" s="130" t="s">
        <v>1697</v>
      </c>
      <c r="K1222" s="131" t="s">
        <v>1698</v>
      </c>
    </row>
    <row r="1223" spans="1:11">
      <c r="A1223" s="136" t="s">
        <v>1208</v>
      </c>
      <c r="B1223" s="137" t="s">
        <v>792</v>
      </c>
      <c r="C1223" s="137" t="s">
        <v>698</v>
      </c>
      <c r="D1223" s="137">
        <v>38115</v>
      </c>
      <c r="E1223" s="136" t="s">
        <v>2031</v>
      </c>
      <c r="F1223" s="1033" t="s">
        <v>1703</v>
      </c>
      <c r="G1223" s="1034"/>
      <c r="H1223" s="137" t="s">
        <v>411</v>
      </c>
      <c r="I1223" s="136">
        <v>1</v>
      </c>
      <c r="J1223" s="136">
        <v>19.13</v>
      </c>
      <c r="K1223" s="138">
        <f>I1223*J1223</f>
        <v>19.13</v>
      </c>
    </row>
    <row r="1224" spans="1:11">
      <c r="A1224" s="136" t="s">
        <v>1208</v>
      </c>
      <c r="B1224" s="137" t="s">
        <v>1705</v>
      </c>
      <c r="C1224" s="137" t="s">
        <v>698</v>
      </c>
      <c r="D1224" s="137">
        <v>88247</v>
      </c>
      <c r="E1224" s="136" t="s">
        <v>474</v>
      </c>
      <c r="F1224" s="1033" t="s">
        <v>1706</v>
      </c>
      <c r="G1224" s="1034"/>
      <c r="H1224" s="137" t="s">
        <v>412</v>
      </c>
      <c r="I1224" s="136">
        <v>0.39</v>
      </c>
      <c r="J1224" s="136">
        <v>26.96</v>
      </c>
      <c r="K1224" s="138">
        <f t="shared" ref="K1224:K1225" si="108">I1224*J1224</f>
        <v>10.5144</v>
      </c>
    </row>
    <row r="1225" spans="1:11">
      <c r="A1225" s="136" t="s">
        <v>1208</v>
      </c>
      <c r="B1225" s="137" t="s">
        <v>1705</v>
      </c>
      <c r="C1225" s="137" t="s">
        <v>698</v>
      </c>
      <c r="D1225" s="137">
        <v>88264</v>
      </c>
      <c r="E1225" s="136" t="s">
        <v>475</v>
      </c>
      <c r="F1225" s="1033" t="s">
        <v>1706</v>
      </c>
      <c r="G1225" s="1034"/>
      <c r="H1225" s="137" t="s">
        <v>412</v>
      </c>
      <c r="I1225" s="136">
        <v>0.39</v>
      </c>
      <c r="J1225" s="136">
        <v>32.99</v>
      </c>
      <c r="K1225" s="138">
        <f t="shared" si="108"/>
        <v>12.866100000000001</v>
      </c>
    </row>
    <row r="1226" spans="1:11">
      <c r="A1226" s="139"/>
      <c r="E1226" s="139"/>
      <c r="F1226" s="139"/>
      <c r="I1226" s="139"/>
      <c r="J1226" s="139"/>
      <c r="K1226" s="140"/>
    </row>
    <row r="1227" spans="1:11">
      <c r="A1227" s="139"/>
      <c r="E1227" s="139"/>
      <c r="F1227" s="139"/>
      <c r="I1227" s="139"/>
      <c r="J1227" s="139"/>
      <c r="K1227" s="140"/>
    </row>
    <row r="1228" spans="1:11" ht="63">
      <c r="A1228" s="132" t="s">
        <v>2032</v>
      </c>
      <c r="B1228" s="133" t="s">
        <v>1700</v>
      </c>
      <c r="C1228" s="133" t="s">
        <v>698</v>
      </c>
      <c r="D1228" s="133">
        <v>91960</v>
      </c>
      <c r="E1228" s="134" t="s">
        <v>484</v>
      </c>
      <c r="F1228" s="134" t="s">
        <v>1852</v>
      </c>
      <c r="G1228" s="133"/>
      <c r="H1228" s="133" t="s">
        <v>411</v>
      </c>
      <c r="I1228" s="134"/>
      <c r="J1228" s="146"/>
      <c r="K1228" s="135">
        <f>SUM(K1230:K1232)</f>
        <v>51.292249999999996</v>
      </c>
    </row>
    <row r="1229" spans="1:11" ht="50.1" customHeight="1">
      <c r="A1229" s="128"/>
      <c r="B1229" s="129" t="s">
        <v>1691</v>
      </c>
      <c r="C1229" s="129" t="s">
        <v>1692</v>
      </c>
      <c r="D1229" s="129" t="s">
        <v>1693</v>
      </c>
      <c r="E1229" s="130" t="s">
        <v>0</v>
      </c>
      <c r="F1229" s="130" t="s">
        <v>1694</v>
      </c>
      <c r="G1229" s="129"/>
      <c r="H1229" s="129" t="s">
        <v>1695</v>
      </c>
      <c r="I1229" s="130" t="s">
        <v>1696</v>
      </c>
      <c r="J1229" s="130" t="s">
        <v>1697</v>
      </c>
      <c r="K1229" s="131" t="s">
        <v>1698</v>
      </c>
    </row>
    <row r="1230" spans="1:11">
      <c r="A1230" s="136" t="s">
        <v>1208</v>
      </c>
      <c r="B1230" s="137" t="s">
        <v>792</v>
      </c>
      <c r="C1230" s="137" t="s">
        <v>698</v>
      </c>
      <c r="D1230" s="137">
        <v>38113</v>
      </c>
      <c r="E1230" s="136" t="s">
        <v>2033</v>
      </c>
      <c r="F1230" s="1033" t="s">
        <v>1703</v>
      </c>
      <c r="G1230" s="1034"/>
      <c r="H1230" s="137" t="s">
        <v>411</v>
      </c>
      <c r="I1230" s="136">
        <v>2</v>
      </c>
      <c r="J1230" s="136">
        <v>9.01</v>
      </c>
      <c r="K1230" s="138">
        <f>I1230*J1230</f>
        <v>18.02</v>
      </c>
    </row>
    <row r="1231" spans="1:11">
      <c r="A1231" s="136" t="s">
        <v>1208</v>
      </c>
      <c r="B1231" s="137" t="s">
        <v>1705</v>
      </c>
      <c r="C1231" s="137" t="s">
        <v>698</v>
      </c>
      <c r="D1231" s="137">
        <v>88247</v>
      </c>
      <c r="E1231" s="136" t="s">
        <v>474</v>
      </c>
      <c r="F1231" s="1033" t="s">
        <v>1706</v>
      </c>
      <c r="G1231" s="1034"/>
      <c r="H1231" s="137" t="s">
        <v>412</v>
      </c>
      <c r="I1231" s="136">
        <v>0.55500000000000005</v>
      </c>
      <c r="J1231" s="136">
        <v>26.96</v>
      </c>
      <c r="K1231" s="138">
        <f t="shared" ref="K1231:K1232" si="109">I1231*J1231</f>
        <v>14.962800000000001</v>
      </c>
    </row>
    <row r="1232" spans="1:11">
      <c r="A1232" s="136" t="s">
        <v>1208</v>
      </c>
      <c r="B1232" s="137" t="s">
        <v>1705</v>
      </c>
      <c r="C1232" s="137" t="s">
        <v>698</v>
      </c>
      <c r="D1232" s="137">
        <v>88264</v>
      </c>
      <c r="E1232" s="136" t="s">
        <v>475</v>
      </c>
      <c r="F1232" s="1033" t="s">
        <v>1706</v>
      </c>
      <c r="G1232" s="1034"/>
      <c r="H1232" s="137" t="s">
        <v>412</v>
      </c>
      <c r="I1232" s="136">
        <v>0.55500000000000005</v>
      </c>
      <c r="J1232" s="136">
        <v>32.99</v>
      </c>
      <c r="K1232" s="138">
        <f t="shared" si="109"/>
        <v>18.309450000000002</v>
      </c>
    </row>
    <row r="1233" spans="1:11">
      <c r="A1233" s="139"/>
      <c r="E1233" s="139"/>
      <c r="F1233" s="139"/>
      <c r="I1233" s="139"/>
      <c r="J1233" s="139"/>
      <c r="K1233" s="140"/>
    </row>
    <row r="1234" spans="1:11">
      <c r="A1234" s="139"/>
      <c r="E1234" s="139"/>
      <c r="F1234" s="139"/>
      <c r="I1234" s="139"/>
      <c r="J1234" s="139"/>
      <c r="K1234" s="140"/>
    </row>
    <row r="1235" spans="1:11" ht="63">
      <c r="A1235" s="132" t="s">
        <v>2034</v>
      </c>
      <c r="B1235" s="133" t="s">
        <v>1700</v>
      </c>
      <c r="C1235" s="133" t="s">
        <v>698</v>
      </c>
      <c r="D1235" s="133">
        <v>91952</v>
      </c>
      <c r="E1235" s="134" t="s">
        <v>481</v>
      </c>
      <c r="F1235" s="134" t="s">
        <v>1852</v>
      </c>
      <c r="G1235" s="133"/>
      <c r="H1235" s="133" t="s">
        <v>411</v>
      </c>
      <c r="I1235" s="134"/>
      <c r="J1235" s="146"/>
      <c r="K1235" s="135">
        <f>SUM(K1237:K1239)</f>
        <v>20.39875</v>
      </c>
    </row>
    <row r="1236" spans="1:11" ht="50.1" customHeight="1">
      <c r="A1236" s="128"/>
      <c r="B1236" s="129" t="s">
        <v>1691</v>
      </c>
      <c r="C1236" s="129" t="s">
        <v>1692</v>
      </c>
      <c r="D1236" s="129" t="s">
        <v>1693</v>
      </c>
      <c r="E1236" s="130" t="s">
        <v>0</v>
      </c>
      <c r="F1236" s="130" t="s">
        <v>1694</v>
      </c>
      <c r="G1236" s="129"/>
      <c r="H1236" s="129" t="s">
        <v>1695</v>
      </c>
      <c r="I1236" s="130" t="s">
        <v>1696</v>
      </c>
      <c r="J1236" s="130" t="s">
        <v>1697</v>
      </c>
      <c r="K1236" s="131" t="s">
        <v>1698</v>
      </c>
    </row>
    <row r="1237" spans="1:11">
      <c r="A1237" s="136" t="s">
        <v>1208</v>
      </c>
      <c r="B1237" s="137" t="s">
        <v>792</v>
      </c>
      <c r="C1237" s="137" t="s">
        <v>698</v>
      </c>
      <c r="D1237" s="137">
        <v>38112</v>
      </c>
      <c r="E1237" s="136" t="s">
        <v>2035</v>
      </c>
      <c r="F1237" s="1033" t="s">
        <v>1703</v>
      </c>
      <c r="G1237" s="1034"/>
      <c r="H1237" s="137" t="s">
        <v>411</v>
      </c>
      <c r="I1237" s="136">
        <v>1</v>
      </c>
      <c r="J1237" s="136">
        <v>6.91</v>
      </c>
      <c r="K1237" s="138">
        <f>J1237*I1237</f>
        <v>6.91</v>
      </c>
    </row>
    <row r="1238" spans="1:11">
      <c r="A1238" s="136" t="s">
        <v>1208</v>
      </c>
      <c r="B1238" s="137" t="s">
        <v>1705</v>
      </c>
      <c r="C1238" s="137" t="s">
        <v>698</v>
      </c>
      <c r="D1238" s="137">
        <v>88247</v>
      </c>
      <c r="E1238" s="136" t="s">
        <v>474</v>
      </c>
      <c r="F1238" s="1033" t="s">
        <v>1706</v>
      </c>
      <c r="G1238" s="1034"/>
      <c r="H1238" s="137" t="s">
        <v>412</v>
      </c>
      <c r="I1238" s="136">
        <v>0.22500000000000001</v>
      </c>
      <c r="J1238" s="136">
        <v>26.96</v>
      </c>
      <c r="K1238" s="138">
        <f t="shared" ref="K1238:K1239" si="110">J1238*I1238</f>
        <v>6.0660000000000007</v>
      </c>
    </row>
    <row r="1239" spans="1:11">
      <c r="A1239" s="136" t="s">
        <v>1208</v>
      </c>
      <c r="B1239" s="137" t="s">
        <v>1705</v>
      </c>
      <c r="C1239" s="137" t="s">
        <v>698</v>
      </c>
      <c r="D1239" s="137">
        <v>88264</v>
      </c>
      <c r="E1239" s="136" t="s">
        <v>475</v>
      </c>
      <c r="F1239" s="1033" t="s">
        <v>1706</v>
      </c>
      <c r="G1239" s="1034"/>
      <c r="H1239" s="137" t="s">
        <v>412</v>
      </c>
      <c r="I1239" s="136">
        <v>0.22500000000000001</v>
      </c>
      <c r="J1239" s="136">
        <v>32.99</v>
      </c>
      <c r="K1239" s="138">
        <f t="shared" si="110"/>
        <v>7.4227500000000006</v>
      </c>
    </row>
    <row r="1240" spans="1:11">
      <c r="A1240" s="139"/>
      <c r="E1240" s="139"/>
      <c r="F1240" s="139"/>
      <c r="I1240" s="139"/>
      <c r="J1240" s="139"/>
      <c r="K1240" s="140"/>
    </row>
    <row r="1241" spans="1:11">
      <c r="A1241" s="139"/>
      <c r="E1241" s="139"/>
      <c r="F1241" s="139"/>
      <c r="I1241" s="139"/>
      <c r="J1241" s="139"/>
      <c r="K1241" s="140"/>
    </row>
    <row r="1242" spans="1:11" ht="63">
      <c r="A1242" s="132" t="s">
        <v>2036</v>
      </c>
      <c r="B1242" s="133" t="s">
        <v>1700</v>
      </c>
      <c r="C1242" s="133" t="s">
        <v>698</v>
      </c>
      <c r="D1242" s="133">
        <v>91958</v>
      </c>
      <c r="E1242" s="134" t="s">
        <v>483</v>
      </c>
      <c r="F1242" s="134" t="s">
        <v>1852</v>
      </c>
      <c r="G1242" s="133"/>
      <c r="H1242" s="133" t="s">
        <v>411</v>
      </c>
      <c r="I1242" s="134"/>
      <c r="J1242" s="146"/>
      <c r="K1242" s="135">
        <f>SUM(K1244:K1246)</f>
        <v>37.200500000000005</v>
      </c>
    </row>
    <row r="1243" spans="1:11" ht="50.1" customHeight="1">
      <c r="A1243" s="128"/>
      <c r="B1243" s="129" t="s">
        <v>1691</v>
      </c>
      <c r="C1243" s="129" t="s">
        <v>1692</v>
      </c>
      <c r="D1243" s="129" t="s">
        <v>1693</v>
      </c>
      <c r="E1243" s="130" t="s">
        <v>0</v>
      </c>
      <c r="F1243" s="130" t="s">
        <v>1694</v>
      </c>
      <c r="G1243" s="129"/>
      <c r="H1243" s="129" t="s">
        <v>1695</v>
      </c>
      <c r="I1243" s="130" t="s">
        <v>1696</v>
      </c>
      <c r="J1243" s="130" t="s">
        <v>1697</v>
      </c>
      <c r="K1243" s="131" t="s">
        <v>1698</v>
      </c>
    </row>
    <row r="1244" spans="1:11">
      <c r="A1244" s="136" t="s">
        <v>1208</v>
      </c>
      <c r="B1244" s="137" t="s">
        <v>792</v>
      </c>
      <c r="C1244" s="137" t="s">
        <v>698</v>
      </c>
      <c r="D1244" s="137">
        <v>38112</v>
      </c>
      <c r="E1244" s="136" t="s">
        <v>2035</v>
      </c>
      <c r="F1244" s="1033" t="s">
        <v>1703</v>
      </c>
      <c r="G1244" s="1034"/>
      <c r="H1244" s="137" t="s">
        <v>411</v>
      </c>
      <c r="I1244" s="136">
        <v>2</v>
      </c>
      <c r="J1244" s="136">
        <v>6.91</v>
      </c>
      <c r="K1244" s="138">
        <f>I1244*J1244</f>
        <v>13.82</v>
      </c>
    </row>
    <row r="1245" spans="1:11">
      <c r="A1245" s="136" t="s">
        <v>1208</v>
      </c>
      <c r="B1245" s="137" t="s">
        <v>1705</v>
      </c>
      <c r="C1245" s="137" t="s">
        <v>698</v>
      </c>
      <c r="D1245" s="137">
        <v>88247</v>
      </c>
      <c r="E1245" s="136" t="s">
        <v>474</v>
      </c>
      <c r="F1245" s="1033" t="s">
        <v>1706</v>
      </c>
      <c r="G1245" s="1034"/>
      <c r="H1245" s="137" t="s">
        <v>412</v>
      </c>
      <c r="I1245" s="136">
        <v>0.39</v>
      </c>
      <c r="J1245" s="136">
        <v>26.96</v>
      </c>
      <c r="K1245" s="138">
        <f t="shared" ref="K1245:K1246" si="111">I1245*J1245</f>
        <v>10.5144</v>
      </c>
    </row>
    <row r="1246" spans="1:11">
      <c r="A1246" s="136" t="s">
        <v>1208</v>
      </c>
      <c r="B1246" s="137" t="s">
        <v>1705</v>
      </c>
      <c r="C1246" s="137" t="s">
        <v>698</v>
      </c>
      <c r="D1246" s="137">
        <v>88264</v>
      </c>
      <c r="E1246" s="136" t="s">
        <v>475</v>
      </c>
      <c r="F1246" s="1033" t="s">
        <v>1706</v>
      </c>
      <c r="G1246" s="1034"/>
      <c r="H1246" s="137" t="s">
        <v>412</v>
      </c>
      <c r="I1246" s="136">
        <v>0.39</v>
      </c>
      <c r="J1246" s="136">
        <v>32.99</v>
      </c>
      <c r="K1246" s="138">
        <f t="shared" si="111"/>
        <v>12.866100000000001</v>
      </c>
    </row>
    <row r="1247" spans="1:11">
      <c r="A1247" s="139"/>
      <c r="E1247" s="139"/>
      <c r="F1247" s="139"/>
      <c r="I1247" s="139"/>
      <c r="J1247" s="139"/>
      <c r="K1247" s="140"/>
    </row>
    <row r="1248" spans="1:11">
      <c r="A1248" s="139"/>
      <c r="E1248" s="139"/>
      <c r="F1248" s="139"/>
      <c r="I1248" s="139"/>
      <c r="J1248" s="139"/>
      <c r="K1248" s="140"/>
    </row>
    <row r="1249" spans="1:11" ht="47.25">
      <c r="A1249" s="132" t="s">
        <v>2037</v>
      </c>
      <c r="B1249" s="133" t="s">
        <v>1700</v>
      </c>
      <c r="C1249" s="133" t="s">
        <v>698</v>
      </c>
      <c r="D1249" s="133">
        <v>89385</v>
      </c>
      <c r="E1249" s="134" t="s">
        <v>538</v>
      </c>
      <c r="F1249" s="134" t="s">
        <v>516</v>
      </c>
      <c r="G1249" s="133"/>
      <c r="H1249" s="133" t="s">
        <v>411</v>
      </c>
      <c r="I1249" s="134"/>
      <c r="J1249" s="146"/>
      <c r="K1249" s="135">
        <f>SUM(K1251:K1256)</f>
        <v>8.9312860000000001</v>
      </c>
    </row>
    <row r="1250" spans="1:11" ht="50.1" customHeight="1">
      <c r="A1250" s="128"/>
      <c r="B1250" s="129" t="s">
        <v>1691</v>
      </c>
      <c r="C1250" s="129" t="s">
        <v>1692</v>
      </c>
      <c r="D1250" s="129" t="s">
        <v>1693</v>
      </c>
      <c r="E1250" s="130" t="s">
        <v>0</v>
      </c>
      <c r="F1250" s="130" t="s">
        <v>1694</v>
      </c>
      <c r="G1250" s="129"/>
      <c r="H1250" s="129" t="s">
        <v>1695</v>
      </c>
      <c r="I1250" s="130" t="s">
        <v>1696</v>
      </c>
      <c r="J1250" s="130" t="s">
        <v>1697</v>
      </c>
      <c r="K1250" s="131" t="s">
        <v>1698</v>
      </c>
    </row>
    <row r="1251" spans="1:11">
      <c r="A1251" s="136" t="s">
        <v>1208</v>
      </c>
      <c r="B1251" s="137" t="s">
        <v>792</v>
      </c>
      <c r="C1251" s="137" t="s">
        <v>698</v>
      </c>
      <c r="D1251" s="137">
        <v>122</v>
      </c>
      <c r="E1251" s="136" t="s">
        <v>1827</v>
      </c>
      <c r="F1251" s="1033" t="s">
        <v>1703</v>
      </c>
      <c r="G1251" s="1034"/>
      <c r="H1251" s="137" t="s">
        <v>411</v>
      </c>
      <c r="I1251" s="136">
        <v>5.8999999999999999E-3</v>
      </c>
      <c r="J1251" s="136">
        <v>76.17</v>
      </c>
      <c r="K1251" s="138">
        <f>I1251*J1251</f>
        <v>0.449403</v>
      </c>
    </row>
    <row r="1252" spans="1:11">
      <c r="A1252" s="136" t="s">
        <v>1208</v>
      </c>
      <c r="B1252" s="137" t="s">
        <v>792</v>
      </c>
      <c r="C1252" s="137" t="s">
        <v>698</v>
      </c>
      <c r="D1252" s="137">
        <v>3906</v>
      </c>
      <c r="E1252" s="136" t="s">
        <v>2038</v>
      </c>
      <c r="F1252" s="1033" t="s">
        <v>1703</v>
      </c>
      <c r="G1252" s="1034"/>
      <c r="H1252" s="137" t="s">
        <v>411</v>
      </c>
      <c r="I1252" s="136">
        <v>1</v>
      </c>
      <c r="J1252" s="136">
        <v>2.31</v>
      </c>
      <c r="K1252" s="138">
        <f t="shared" ref="K1252:K1256" si="112">I1252*J1252</f>
        <v>2.31</v>
      </c>
    </row>
    <row r="1253" spans="1:11">
      <c r="A1253" s="136" t="s">
        <v>1208</v>
      </c>
      <c r="B1253" s="137" t="s">
        <v>792</v>
      </c>
      <c r="C1253" s="137" t="s">
        <v>698</v>
      </c>
      <c r="D1253" s="137">
        <v>20083</v>
      </c>
      <c r="E1253" s="136" t="s">
        <v>1828</v>
      </c>
      <c r="F1253" s="1033" t="s">
        <v>1703</v>
      </c>
      <c r="G1253" s="1034"/>
      <c r="H1253" s="137" t="s">
        <v>411</v>
      </c>
      <c r="I1253" s="136">
        <v>7.0000000000000001E-3</v>
      </c>
      <c r="J1253" s="136">
        <v>86.3</v>
      </c>
      <c r="K1253" s="138">
        <f t="shared" si="112"/>
        <v>0.60409999999999997</v>
      </c>
    </row>
    <row r="1254" spans="1:11">
      <c r="A1254" s="136" t="s">
        <v>1208</v>
      </c>
      <c r="B1254" s="137" t="s">
        <v>792</v>
      </c>
      <c r="C1254" s="137" t="s">
        <v>698</v>
      </c>
      <c r="D1254" s="137">
        <v>38383</v>
      </c>
      <c r="E1254" s="136" t="s">
        <v>1825</v>
      </c>
      <c r="F1254" s="1033" t="s">
        <v>1703</v>
      </c>
      <c r="G1254" s="1034"/>
      <c r="H1254" s="137" t="s">
        <v>411</v>
      </c>
      <c r="I1254" s="136">
        <v>3.15E-2</v>
      </c>
      <c r="J1254" s="136">
        <v>2.13</v>
      </c>
      <c r="K1254" s="138">
        <f t="shared" si="112"/>
        <v>6.7095000000000002E-2</v>
      </c>
    </row>
    <row r="1255" spans="1:11">
      <c r="A1255" s="136" t="s">
        <v>1208</v>
      </c>
      <c r="B1255" s="137" t="s">
        <v>1705</v>
      </c>
      <c r="C1255" s="137" t="s">
        <v>698</v>
      </c>
      <c r="D1255" s="137">
        <v>88248</v>
      </c>
      <c r="E1255" s="136" t="s">
        <v>505</v>
      </c>
      <c r="F1255" s="1033" t="s">
        <v>1706</v>
      </c>
      <c r="G1255" s="1034"/>
      <c r="H1255" s="137" t="s">
        <v>412</v>
      </c>
      <c r="I1255" s="136">
        <v>9.4399999999999998E-2</v>
      </c>
      <c r="J1255" s="136">
        <v>26.14</v>
      </c>
      <c r="K1255" s="138">
        <f t="shared" si="112"/>
        <v>2.467616</v>
      </c>
    </row>
    <row r="1256" spans="1:11">
      <c r="A1256" s="136" t="s">
        <v>1208</v>
      </c>
      <c r="B1256" s="137" t="s">
        <v>1705</v>
      </c>
      <c r="C1256" s="137" t="s">
        <v>698</v>
      </c>
      <c r="D1256" s="137">
        <v>88267</v>
      </c>
      <c r="E1256" s="136" t="s">
        <v>506</v>
      </c>
      <c r="F1256" s="1033" t="s">
        <v>1706</v>
      </c>
      <c r="G1256" s="1034"/>
      <c r="H1256" s="137" t="s">
        <v>412</v>
      </c>
      <c r="I1256" s="136">
        <v>9.4399999999999998E-2</v>
      </c>
      <c r="J1256" s="136">
        <v>32.130000000000003</v>
      </c>
      <c r="K1256" s="138">
        <f t="shared" si="112"/>
        <v>3.0330720000000002</v>
      </c>
    </row>
    <row r="1257" spans="1:11">
      <c r="A1257" s="139"/>
      <c r="E1257" s="139"/>
      <c r="F1257" s="139"/>
      <c r="I1257" s="139"/>
      <c r="J1257" s="139"/>
      <c r="K1257" s="140"/>
    </row>
    <row r="1258" spans="1:11">
      <c r="A1258" s="139"/>
      <c r="E1258" s="139"/>
      <c r="F1258" s="139"/>
      <c r="I1258" s="139"/>
      <c r="J1258" s="139"/>
      <c r="K1258" s="140"/>
    </row>
    <row r="1259" spans="1:11" ht="15.75">
      <c r="A1259" s="132" t="s">
        <v>2039</v>
      </c>
      <c r="B1259" s="133" t="s">
        <v>1700</v>
      </c>
      <c r="C1259" s="133" t="s">
        <v>698</v>
      </c>
      <c r="D1259" s="133">
        <v>88274</v>
      </c>
      <c r="E1259" s="134" t="s">
        <v>582</v>
      </c>
      <c r="F1259" s="134" t="s">
        <v>601</v>
      </c>
      <c r="G1259" s="133"/>
      <c r="H1259" s="133" t="s">
        <v>412</v>
      </c>
      <c r="I1259" s="134"/>
      <c r="J1259" s="146"/>
      <c r="K1259" s="135">
        <f>SUM(K1261:K1268)</f>
        <v>26.919999999999995</v>
      </c>
    </row>
    <row r="1260" spans="1:11" ht="50.1" customHeight="1">
      <c r="A1260" s="128"/>
      <c r="B1260" s="129" t="s">
        <v>1691</v>
      </c>
      <c r="C1260" s="129" t="s">
        <v>1692</v>
      </c>
      <c r="D1260" s="129" t="s">
        <v>1693</v>
      </c>
      <c r="E1260" s="130" t="s">
        <v>0</v>
      </c>
      <c r="F1260" s="130" t="s">
        <v>1694</v>
      </c>
      <c r="G1260" s="129"/>
      <c r="H1260" s="129" t="s">
        <v>1695</v>
      </c>
      <c r="I1260" s="130" t="s">
        <v>1696</v>
      </c>
      <c r="J1260" s="130" t="s">
        <v>1697</v>
      </c>
      <c r="K1260" s="131" t="s">
        <v>1698</v>
      </c>
    </row>
    <row r="1261" spans="1:11">
      <c r="A1261" s="136" t="s">
        <v>1208</v>
      </c>
      <c r="B1261" s="137" t="s">
        <v>792</v>
      </c>
      <c r="C1261" s="137" t="s">
        <v>698</v>
      </c>
      <c r="D1261" s="137">
        <v>4755</v>
      </c>
      <c r="E1261" s="136" t="s">
        <v>1990</v>
      </c>
      <c r="F1261" s="1033" t="s">
        <v>1702</v>
      </c>
      <c r="G1261" s="1034"/>
      <c r="H1261" s="137" t="s">
        <v>412</v>
      </c>
      <c r="I1261" s="136">
        <v>1</v>
      </c>
      <c r="J1261" s="136">
        <v>19.09</v>
      </c>
      <c r="K1261" s="138">
        <f>I1261*J1261</f>
        <v>19.09</v>
      </c>
    </row>
    <row r="1262" spans="1:11">
      <c r="A1262" s="136" t="s">
        <v>1208</v>
      </c>
      <c r="B1262" s="137" t="s">
        <v>792</v>
      </c>
      <c r="C1262" s="137" t="s">
        <v>698</v>
      </c>
      <c r="D1262" s="137">
        <v>37370</v>
      </c>
      <c r="E1262" s="136" t="s">
        <v>653</v>
      </c>
      <c r="F1262" s="1033" t="s">
        <v>1703</v>
      </c>
      <c r="G1262" s="1034"/>
      <c r="H1262" s="137" t="s">
        <v>412</v>
      </c>
      <c r="I1262" s="136">
        <v>1</v>
      </c>
      <c r="J1262" s="136">
        <v>3.91</v>
      </c>
      <c r="K1262" s="138">
        <f t="shared" ref="K1262:K1268" si="113">I1262*J1262</f>
        <v>3.91</v>
      </c>
    </row>
    <row r="1263" spans="1:11">
      <c r="A1263" s="136" t="s">
        <v>1208</v>
      </c>
      <c r="B1263" s="137" t="s">
        <v>792</v>
      </c>
      <c r="C1263" s="137" t="s">
        <v>698</v>
      </c>
      <c r="D1263" s="137">
        <v>37371</v>
      </c>
      <c r="E1263" s="136" t="s">
        <v>654</v>
      </c>
      <c r="F1263" s="1033" t="s">
        <v>1889</v>
      </c>
      <c r="G1263" s="1034"/>
      <c r="H1263" s="137" t="s">
        <v>412</v>
      </c>
      <c r="I1263" s="136">
        <v>1</v>
      </c>
      <c r="J1263" s="136">
        <v>1</v>
      </c>
      <c r="K1263" s="138">
        <f t="shared" si="113"/>
        <v>1</v>
      </c>
    </row>
    <row r="1264" spans="1:11">
      <c r="A1264" s="136" t="s">
        <v>1208</v>
      </c>
      <c r="B1264" s="137" t="s">
        <v>792</v>
      </c>
      <c r="C1264" s="137" t="s">
        <v>698</v>
      </c>
      <c r="D1264" s="137">
        <v>37372</v>
      </c>
      <c r="E1264" s="136" t="s">
        <v>655</v>
      </c>
      <c r="F1264" s="1033" t="s">
        <v>1703</v>
      </c>
      <c r="G1264" s="1034"/>
      <c r="H1264" s="137" t="s">
        <v>412</v>
      </c>
      <c r="I1264" s="136">
        <v>1</v>
      </c>
      <c r="J1264" s="136">
        <v>0.81</v>
      </c>
      <c r="K1264" s="138">
        <f t="shared" si="113"/>
        <v>0.81</v>
      </c>
    </row>
    <row r="1265" spans="1:12">
      <c r="A1265" s="136" t="s">
        <v>1208</v>
      </c>
      <c r="B1265" s="137" t="s">
        <v>792</v>
      </c>
      <c r="C1265" s="137" t="s">
        <v>698</v>
      </c>
      <c r="D1265" s="137">
        <v>37373</v>
      </c>
      <c r="E1265" s="136" t="s">
        <v>656</v>
      </c>
      <c r="F1265" s="1033" t="s">
        <v>1890</v>
      </c>
      <c r="G1265" s="1034"/>
      <c r="H1265" s="137" t="s">
        <v>412</v>
      </c>
      <c r="I1265" s="136">
        <v>1</v>
      </c>
      <c r="J1265" s="136">
        <v>0.06</v>
      </c>
      <c r="K1265" s="138">
        <f t="shared" si="113"/>
        <v>0.06</v>
      </c>
    </row>
    <row r="1266" spans="1:12">
      <c r="A1266" s="136" t="s">
        <v>1208</v>
      </c>
      <c r="B1266" s="137" t="s">
        <v>792</v>
      </c>
      <c r="C1266" s="137" t="s">
        <v>698</v>
      </c>
      <c r="D1266" s="137">
        <v>43465</v>
      </c>
      <c r="E1266" s="136" t="s">
        <v>1920</v>
      </c>
      <c r="F1266" s="1033" t="s">
        <v>1704</v>
      </c>
      <c r="G1266" s="1034"/>
      <c r="H1266" s="137" t="s">
        <v>412</v>
      </c>
      <c r="I1266" s="136">
        <v>1</v>
      </c>
      <c r="J1266" s="136">
        <v>0.74</v>
      </c>
      <c r="K1266" s="138">
        <f t="shared" si="113"/>
        <v>0.74</v>
      </c>
    </row>
    <row r="1267" spans="1:12">
      <c r="A1267" s="136" t="s">
        <v>1208</v>
      </c>
      <c r="B1267" s="137" t="s">
        <v>792</v>
      </c>
      <c r="C1267" s="137" t="s">
        <v>698</v>
      </c>
      <c r="D1267" s="137">
        <v>43489</v>
      </c>
      <c r="E1267" s="136" t="s">
        <v>1921</v>
      </c>
      <c r="F1267" s="1033" t="s">
        <v>1704</v>
      </c>
      <c r="G1267" s="1034"/>
      <c r="H1267" s="137" t="s">
        <v>412</v>
      </c>
      <c r="I1267" s="136">
        <v>1</v>
      </c>
      <c r="J1267" s="136">
        <v>1.0900000000000001</v>
      </c>
      <c r="K1267" s="138">
        <f t="shared" si="113"/>
        <v>1.0900000000000001</v>
      </c>
    </row>
    <row r="1268" spans="1:12">
      <c r="A1268" s="136" t="s">
        <v>1208</v>
      </c>
      <c r="B1268" s="137" t="s">
        <v>1705</v>
      </c>
      <c r="C1268" s="137" t="s">
        <v>698</v>
      </c>
      <c r="D1268" s="137">
        <v>95341</v>
      </c>
      <c r="E1268" s="136" t="s">
        <v>1989</v>
      </c>
      <c r="F1268" s="1033" t="s">
        <v>1706</v>
      </c>
      <c r="G1268" s="1034"/>
      <c r="H1268" s="137" t="s">
        <v>412</v>
      </c>
      <c r="I1268" s="136">
        <v>1</v>
      </c>
      <c r="J1268" s="136">
        <v>0.22</v>
      </c>
      <c r="K1268" s="138">
        <f t="shared" si="113"/>
        <v>0.22</v>
      </c>
    </row>
    <row r="1269" spans="1:12">
      <c r="A1269" s="139"/>
      <c r="E1269" s="139"/>
      <c r="F1269" s="139"/>
      <c r="I1269" s="139"/>
      <c r="J1269" s="139"/>
      <c r="K1269" s="140"/>
    </row>
    <row r="1270" spans="1:12">
      <c r="A1270" s="139"/>
      <c r="E1270" s="139"/>
      <c r="F1270" s="139"/>
      <c r="I1270" s="139"/>
      <c r="J1270" s="139"/>
      <c r="K1270" s="140"/>
    </row>
    <row r="1271" spans="1:12" ht="15.75">
      <c r="A1271" s="132" t="s">
        <v>2040</v>
      </c>
      <c r="B1271" s="133" t="s">
        <v>1700</v>
      </c>
      <c r="C1271" s="133" t="s">
        <v>698</v>
      </c>
      <c r="D1271" s="133">
        <v>88278</v>
      </c>
      <c r="E1271" s="134" t="s">
        <v>444</v>
      </c>
      <c r="F1271" s="134" t="s">
        <v>601</v>
      </c>
      <c r="G1271" s="133"/>
      <c r="H1271" s="133" t="s">
        <v>412</v>
      </c>
      <c r="I1271" s="134"/>
      <c r="J1271" s="146"/>
      <c r="K1271" s="135">
        <f>SUM(K1273:K1280)</f>
        <v>32.74</v>
      </c>
    </row>
    <row r="1272" spans="1:12" ht="50.1" customHeight="1">
      <c r="A1272" s="128"/>
      <c r="B1272" s="129" t="s">
        <v>1691</v>
      </c>
      <c r="C1272" s="129" t="s">
        <v>1692</v>
      </c>
      <c r="D1272" s="129" t="s">
        <v>1693</v>
      </c>
      <c r="E1272" s="130" t="s">
        <v>0</v>
      </c>
      <c r="F1272" s="130" t="s">
        <v>1694</v>
      </c>
      <c r="G1272" s="129"/>
      <c r="H1272" s="129" t="s">
        <v>1695</v>
      </c>
      <c r="I1272" s="130" t="s">
        <v>1696</v>
      </c>
      <c r="J1272" s="130" t="s">
        <v>1697</v>
      </c>
      <c r="K1272" s="131" t="s">
        <v>1698</v>
      </c>
    </row>
    <row r="1273" spans="1:12">
      <c r="A1273" s="136" t="s">
        <v>1208</v>
      </c>
      <c r="B1273" s="137" t="s">
        <v>792</v>
      </c>
      <c r="C1273" s="137" t="s">
        <v>698</v>
      </c>
      <c r="D1273" s="854">
        <v>25957</v>
      </c>
      <c r="E1273" s="136" t="s">
        <v>1994</v>
      </c>
      <c r="F1273" s="1033" t="s">
        <v>1702</v>
      </c>
      <c r="G1273" s="1034"/>
      <c r="H1273" s="137" t="s">
        <v>412</v>
      </c>
      <c r="I1273" s="136">
        <v>1</v>
      </c>
      <c r="J1273" s="136">
        <v>25.95</v>
      </c>
      <c r="K1273" s="138">
        <f>I1273*J1273</f>
        <v>25.95</v>
      </c>
      <c r="L1273" s="147"/>
    </row>
    <row r="1274" spans="1:12">
      <c r="A1274" s="136" t="s">
        <v>1208</v>
      </c>
      <c r="B1274" s="137" t="s">
        <v>792</v>
      </c>
      <c r="C1274" s="137" t="s">
        <v>698</v>
      </c>
      <c r="D1274" s="137">
        <v>37370</v>
      </c>
      <c r="E1274" s="136" t="s">
        <v>653</v>
      </c>
      <c r="F1274" s="1033" t="s">
        <v>1703</v>
      </c>
      <c r="G1274" s="1034"/>
      <c r="H1274" s="137" t="s">
        <v>412</v>
      </c>
      <c r="I1274" s="136">
        <v>1</v>
      </c>
      <c r="J1274" s="136">
        <v>3.91</v>
      </c>
      <c r="K1274" s="138">
        <f t="shared" ref="K1274:K1280" si="114">I1274*J1274</f>
        <v>3.91</v>
      </c>
    </row>
    <row r="1275" spans="1:12">
      <c r="A1275" s="136" t="s">
        <v>1208</v>
      </c>
      <c r="B1275" s="137" t="s">
        <v>792</v>
      </c>
      <c r="C1275" s="137" t="s">
        <v>698</v>
      </c>
      <c r="D1275" s="137">
        <v>37371</v>
      </c>
      <c r="E1275" s="136" t="s">
        <v>654</v>
      </c>
      <c r="F1275" s="1033" t="s">
        <v>1889</v>
      </c>
      <c r="G1275" s="1034"/>
      <c r="H1275" s="137" t="s">
        <v>412</v>
      </c>
      <c r="I1275" s="136">
        <v>1</v>
      </c>
      <c r="J1275" s="136">
        <v>1</v>
      </c>
      <c r="K1275" s="138">
        <f t="shared" si="114"/>
        <v>1</v>
      </c>
    </row>
    <row r="1276" spans="1:12">
      <c r="A1276" s="136" t="s">
        <v>1208</v>
      </c>
      <c r="B1276" s="137" t="s">
        <v>792</v>
      </c>
      <c r="C1276" s="137" t="s">
        <v>698</v>
      </c>
      <c r="D1276" s="137">
        <v>37372</v>
      </c>
      <c r="E1276" s="136" t="s">
        <v>655</v>
      </c>
      <c r="F1276" s="1033" t="s">
        <v>1703</v>
      </c>
      <c r="G1276" s="1034"/>
      <c r="H1276" s="137" t="s">
        <v>412</v>
      </c>
      <c r="I1276" s="136">
        <v>1</v>
      </c>
      <c r="J1276" s="136">
        <v>0.81</v>
      </c>
      <c r="K1276" s="138">
        <f t="shared" si="114"/>
        <v>0.81</v>
      </c>
    </row>
    <row r="1277" spans="1:12">
      <c r="A1277" s="136" t="s">
        <v>1208</v>
      </c>
      <c r="B1277" s="137" t="s">
        <v>792</v>
      </c>
      <c r="C1277" s="137" t="s">
        <v>698</v>
      </c>
      <c r="D1277" s="137">
        <v>37373</v>
      </c>
      <c r="E1277" s="136" t="s">
        <v>656</v>
      </c>
      <c r="F1277" s="1033" t="s">
        <v>1890</v>
      </c>
      <c r="G1277" s="1034"/>
      <c r="H1277" s="137" t="s">
        <v>412</v>
      </c>
      <c r="I1277" s="136">
        <v>1</v>
      </c>
      <c r="J1277" s="136">
        <v>0.06</v>
      </c>
      <c r="K1277" s="138">
        <f t="shared" si="114"/>
        <v>0.06</v>
      </c>
    </row>
    <row r="1278" spans="1:12" ht="24.75">
      <c r="A1278" s="136" t="s">
        <v>1208</v>
      </c>
      <c r="B1278" s="137" t="s">
        <v>792</v>
      </c>
      <c r="C1278" s="137" t="s">
        <v>698</v>
      </c>
      <c r="D1278" s="137">
        <v>43464</v>
      </c>
      <c r="E1278" s="136" t="s">
        <v>2041</v>
      </c>
      <c r="F1278" s="1033" t="s">
        <v>1704</v>
      </c>
      <c r="G1278" s="1034"/>
      <c r="H1278" s="137" t="s">
        <v>412</v>
      </c>
      <c r="I1278" s="136">
        <v>1</v>
      </c>
      <c r="J1278" s="136">
        <v>0.01</v>
      </c>
      <c r="K1278" s="138">
        <f t="shared" si="114"/>
        <v>0.01</v>
      </c>
    </row>
    <row r="1279" spans="1:12">
      <c r="A1279" s="136" t="s">
        <v>1208</v>
      </c>
      <c r="B1279" s="137" t="s">
        <v>792</v>
      </c>
      <c r="C1279" s="137" t="s">
        <v>698</v>
      </c>
      <c r="D1279" s="137">
        <v>43488</v>
      </c>
      <c r="E1279" s="136" t="s">
        <v>2042</v>
      </c>
      <c r="F1279" s="1033" t="s">
        <v>1704</v>
      </c>
      <c r="G1279" s="1034"/>
      <c r="H1279" s="137" t="s">
        <v>412</v>
      </c>
      <c r="I1279" s="136">
        <v>1</v>
      </c>
      <c r="J1279" s="136">
        <v>0.76</v>
      </c>
      <c r="K1279" s="138">
        <f t="shared" si="114"/>
        <v>0.76</v>
      </c>
    </row>
    <row r="1280" spans="1:12" ht="24.75">
      <c r="A1280" s="136" t="s">
        <v>1208</v>
      </c>
      <c r="B1280" s="137" t="s">
        <v>1705</v>
      </c>
      <c r="C1280" s="137" t="s">
        <v>698</v>
      </c>
      <c r="D1280" s="137">
        <v>95344</v>
      </c>
      <c r="E1280" s="136" t="s">
        <v>1993</v>
      </c>
      <c r="F1280" s="1033" t="s">
        <v>1706</v>
      </c>
      <c r="G1280" s="1034"/>
      <c r="H1280" s="137" t="s">
        <v>412</v>
      </c>
      <c r="I1280" s="136">
        <v>1</v>
      </c>
      <c r="J1280" s="136">
        <v>0.24</v>
      </c>
      <c r="K1280" s="138">
        <f t="shared" si="114"/>
        <v>0.24</v>
      </c>
    </row>
    <row r="1281" spans="1:11">
      <c r="A1281" s="139"/>
      <c r="E1281" s="139"/>
      <c r="F1281" s="139"/>
      <c r="I1281" s="139"/>
      <c r="J1281" s="139"/>
      <c r="K1281" s="140"/>
    </row>
    <row r="1282" spans="1:11">
      <c r="A1282" s="139"/>
      <c r="E1282" s="139"/>
      <c r="F1282" s="139"/>
      <c r="I1282" s="139"/>
      <c r="J1282" s="139"/>
      <c r="K1282" s="140"/>
    </row>
    <row r="1283" spans="1:11" ht="15.75">
      <c r="A1283" s="132" t="s">
        <v>2043</v>
      </c>
      <c r="B1283" s="133" t="s">
        <v>1700</v>
      </c>
      <c r="C1283" s="133" t="s">
        <v>698</v>
      </c>
      <c r="D1283" s="133">
        <v>88281</v>
      </c>
      <c r="E1283" s="134" t="s">
        <v>1949</v>
      </c>
      <c r="F1283" s="134" t="s">
        <v>601</v>
      </c>
      <c r="G1283" s="133"/>
      <c r="H1283" s="133" t="s">
        <v>412</v>
      </c>
      <c r="I1283" s="134"/>
      <c r="J1283" s="134"/>
      <c r="K1283" s="135">
        <f>SUM(K1285:K1292)</f>
        <v>30.2</v>
      </c>
    </row>
    <row r="1284" spans="1:11" ht="50.1" customHeight="1">
      <c r="A1284" s="128"/>
      <c r="B1284" s="129" t="s">
        <v>1691</v>
      </c>
      <c r="C1284" s="129" t="s">
        <v>1692</v>
      </c>
      <c r="D1284" s="129" t="s">
        <v>1693</v>
      </c>
      <c r="E1284" s="130" t="s">
        <v>0</v>
      </c>
      <c r="F1284" s="130" t="s">
        <v>1694</v>
      </c>
      <c r="G1284" s="129"/>
      <c r="H1284" s="129" t="s">
        <v>1695</v>
      </c>
      <c r="I1284" s="130" t="s">
        <v>1696</v>
      </c>
      <c r="J1284" s="130" t="s">
        <v>1697</v>
      </c>
      <c r="K1284" s="131" t="s">
        <v>1698</v>
      </c>
    </row>
    <row r="1285" spans="1:11">
      <c r="A1285" s="136" t="s">
        <v>1208</v>
      </c>
      <c r="B1285" s="137" t="s">
        <v>792</v>
      </c>
      <c r="C1285" s="137" t="s">
        <v>698</v>
      </c>
      <c r="D1285" s="137">
        <v>20020</v>
      </c>
      <c r="E1285" s="136" t="s">
        <v>1997</v>
      </c>
      <c r="F1285" s="1033" t="s">
        <v>1702</v>
      </c>
      <c r="G1285" s="1034"/>
      <c r="H1285" s="137" t="s">
        <v>412</v>
      </c>
      <c r="I1285" s="136">
        <v>1</v>
      </c>
      <c r="J1285" s="136">
        <v>23.56</v>
      </c>
      <c r="K1285" s="138">
        <f>J1285*I1285</f>
        <v>23.56</v>
      </c>
    </row>
    <row r="1286" spans="1:11">
      <c r="A1286" s="136" t="s">
        <v>1208</v>
      </c>
      <c r="B1286" s="137" t="s">
        <v>792</v>
      </c>
      <c r="C1286" s="137" t="s">
        <v>698</v>
      </c>
      <c r="D1286" s="137">
        <v>37370</v>
      </c>
      <c r="E1286" s="136" t="s">
        <v>653</v>
      </c>
      <c r="F1286" s="1033" t="s">
        <v>1703</v>
      </c>
      <c r="G1286" s="1034"/>
      <c r="H1286" s="137" t="s">
        <v>412</v>
      </c>
      <c r="I1286" s="136">
        <v>1</v>
      </c>
      <c r="J1286" s="136">
        <v>3.91</v>
      </c>
      <c r="K1286" s="138">
        <f t="shared" ref="K1286:K1292" si="115">J1286*I1286</f>
        <v>3.91</v>
      </c>
    </row>
    <row r="1287" spans="1:11">
      <c r="A1287" s="136" t="s">
        <v>1208</v>
      </c>
      <c r="B1287" s="137" t="s">
        <v>792</v>
      </c>
      <c r="C1287" s="137" t="s">
        <v>698</v>
      </c>
      <c r="D1287" s="137">
        <v>37371</v>
      </c>
      <c r="E1287" s="136" t="s">
        <v>654</v>
      </c>
      <c r="F1287" s="1033" t="s">
        <v>1889</v>
      </c>
      <c r="G1287" s="1034"/>
      <c r="H1287" s="137" t="s">
        <v>412</v>
      </c>
      <c r="I1287" s="136">
        <v>1</v>
      </c>
      <c r="J1287" s="136">
        <v>1</v>
      </c>
      <c r="K1287" s="138">
        <f t="shared" si="115"/>
        <v>1</v>
      </c>
    </row>
    <row r="1288" spans="1:11">
      <c r="A1288" s="136" t="s">
        <v>1208</v>
      </c>
      <c r="B1288" s="137" t="s">
        <v>792</v>
      </c>
      <c r="C1288" s="137" t="s">
        <v>698</v>
      </c>
      <c r="D1288" s="137">
        <v>37372</v>
      </c>
      <c r="E1288" s="136" t="s">
        <v>655</v>
      </c>
      <c r="F1288" s="1033" t="s">
        <v>1703</v>
      </c>
      <c r="G1288" s="1034"/>
      <c r="H1288" s="137" t="s">
        <v>412</v>
      </c>
      <c r="I1288" s="136">
        <v>1</v>
      </c>
      <c r="J1288" s="136">
        <v>0.81</v>
      </c>
      <c r="K1288" s="138">
        <f t="shared" si="115"/>
        <v>0.81</v>
      </c>
    </row>
    <row r="1289" spans="1:11">
      <c r="A1289" s="136" t="s">
        <v>1208</v>
      </c>
      <c r="B1289" s="137" t="s">
        <v>792</v>
      </c>
      <c r="C1289" s="137" t="s">
        <v>698</v>
      </c>
      <c r="D1289" s="137">
        <v>37373</v>
      </c>
      <c r="E1289" s="136" t="s">
        <v>656</v>
      </c>
      <c r="F1289" s="1033" t="s">
        <v>1890</v>
      </c>
      <c r="G1289" s="1034"/>
      <c r="H1289" s="137" t="s">
        <v>412</v>
      </c>
      <c r="I1289" s="136">
        <v>1</v>
      </c>
      <c r="J1289" s="136">
        <v>0.06</v>
      </c>
      <c r="K1289" s="138">
        <f t="shared" si="115"/>
        <v>0.06</v>
      </c>
    </row>
    <row r="1290" spans="1:11" ht="24.75">
      <c r="A1290" s="136" t="s">
        <v>1208</v>
      </c>
      <c r="B1290" s="137" t="s">
        <v>792</v>
      </c>
      <c r="C1290" s="137" t="s">
        <v>698</v>
      </c>
      <c r="D1290" s="137">
        <v>43464</v>
      </c>
      <c r="E1290" s="136" t="s">
        <v>2041</v>
      </c>
      <c r="F1290" s="1033" t="s">
        <v>1704</v>
      </c>
      <c r="G1290" s="1034"/>
      <c r="H1290" s="137" t="s">
        <v>412</v>
      </c>
      <c r="I1290" s="136">
        <v>1</v>
      </c>
      <c r="J1290" s="136">
        <v>0.01</v>
      </c>
      <c r="K1290" s="138">
        <f t="shared" si="115"/>
        <v>0.01</v>
      </c>
    </row>
    <row r="1291" spans="1:11">
      <c r="A1291" s="136" t="s">
        <v>1208</v>
      </c>
      <c r="B1291" s="137" t="s">
        <v>792</v>
      </c>
      <c r="C1291" s="137" t="s">
        <v>698</v>
      </c>
      <c r="D1291" s="137">
        <v>43488</v>
      </c>
      <c r="E1291" s="136" t="s">
        <v>2042</v>
      </c>
      <c r="F1291" s="1033" t="s">
        <v>1704</v>
      </c>
      <c r="G1291" s="1034"/>
      <c r="H1291" s="137" t="s">
        <v>412</v>
      </c>
      <c r="I1291" s="136">
        <v>1</v>
      </c>
      <c r="J1291" s="136">
        <v>0.76</v>
      </c>
      <c r="K1291" s="138">
        <f t="shared" si="115"/>
        <v>0.76</v>
      </c>
    </row>
    <row r="1292" spans="1:11">
      <c r="A1292" s="136" t="s">
        <v>1208</v>
      </c>
      <c r="B1292" s="137" t="s">
        <v>1705</v>
      </c>
      <c r="C1292" s="137" t="s">
        <v>698</v>
      </c>
      <c r="D1292" s="137">
        <v>95346</v>
      </c>
      <c r="E1292" s="136" t="s">
        <v>1996</v>
      </c>
      <c r="F1292" s="1033" t="s">
        <v>1706</v>
      </c>
      <c r="G1292" s="1034"/>
      <c r="H1292" s="137" t="s">
        <v>412</v>
      </c>
      <c r="I1292" s="136">
        <v>1</v>
      </c>
      <c r="J1292" s="136">
        <v>0.09</v>
      </c>
      <c r="K1292" s="138">
        <f t="shared" si="115"/>
        <v>0.09</v>
      </c>
    </row>
    <row r="1293" spans="1:11">
      <c r="A1293" s="139"/>
      <c r="E1293" s="139"/>
      <c r="F1293" s="139"/>
      <c r="I1293" s="139"/>
      <c r="J1293" s="139"/>
      <c r="K1293" s="140"/>
    </row>
    <row r="1294" spans="1:11">
      <c r="A1294" s="139"/>
      <c r="E1294" s="139"/>
      <c r="F1294" s="139"/>
      <c r="I1294" s="139"/>
      <c r="J1294" s="139"/>
      <c r="K1294" s="140"/>
    </row>
    <row r="1295" spans="1:11" ht="31.5">
      <c r="A1295" s="132" t="s">
        <v>2044</v>
      </c>
      <c r="B1295" s="133" t="s">
        <v>1700</v>
      </c>
      <c r="C1295" s="133" t="s">
        <v>698</v>
      </c>
      <c r="D1295" s="133">
        <v>88377</v>
      </c>
      <c r="E1295" s="134" t="s">
        <v>1898</v>
      </c>
      <c r="F1295" s="134" t="s">
        <v>601</v>
      </c>
      <c r="G1295" s="133"/>
      <c r="H1295" s="133" t="s">
        <v>412</v>
      </c>
      <c r="I1295" s="134"/>
      <c r="J1295" s="134"/>
      <c r="K1295" s="135">
        <f>SUM(K1297:K1304)</f>
        <v>28.410000000000004</v>
      </c>
    </row>
    <row r="1296" spans="1:11" ht="50.1" customHeight="1">
      <c r="A1296" s="128"/>
      <c r="B1296" s="129" t="s">
        <v>1691</v>
      </c>
      <c r="C1296" s="129" t="s">
        <v>1692</v>
      </c>
      <c r="D1296" s="129" t="s">
        <v>1693</v>
      </c>
      <c r="E1296" s="130" t="s">
        <v>0</v>
      </c>
      <c r="F1296" s="130" t="s">
        <v>1694</v>
      </c>
      <c r="G1296" s="129"/>
      <c r="H1296" s="129" t="s">
        <v>1695</v>
      </c>
      <c r="I1296" s="130" t="s">
        <v>1696</v>
      </c>
      <c r="J1296" s="130" t="s">
        <v>1697</v>
      </c>
      <c r="K1296" s="131" t="s">
        <v>1698</v>
      </c>
    </row>
    <row r="1297" spans="1:11">
      <c r="A1297" s="136" t="s">
        <v>1208</v>
      </c>
      <c r="B1297" s="137" t="s">
        <v>792</v>
      </c>
      <c r="C1297" s="137" t="s">
        <v>698</v>
      </c>
      <c r="D1297" s="137">
        <v>37370</v>
      </c>
      <c r="E1297" s="136" t="s">
        <v>653</v>
      </c>
      <c r="F1297" s="1033" t="s">
        <v>1703</v>
      </c>
      <c r="G1297" s="1034"/>
      <c r="H1297" s="137" t="s">
        <v>412</v>
      </c>
      <c r="I1297" s="136">
        <v>1</v>
      </c>
      <c r="J1297" s="136">
        <v>3.91</v>
      </c>
      <c r="K1297" s="138">
        <f>I1297*J1297</f>
        <v>3.91</v>
      </c>
    </row>
    <row r="1298" spans="1:11">
      <c r="A1298" s="136" t="s">
        <v>1208</v>
      </c>
      <c r="B1298" s="137" t="s">
        <v>792</v>
      </c>
      <c r="C1298" s="137" t="s">
        <v>698</v>
      </c>
      <c r="D1298" s="137">
        <v>37371</v>
      </c>
      <c r="E1298" s="136" t="s">
        <v>654</v>
      </c>
      <c r="F1298" s="1033" t="s">
        <v>1889</v>
      </c>
      <c r="G1298" s="1034"/>
      <c r="H1298" s="137" t="s">
        <v>412</v>
      </c>
      <c r="I1298" s="136">
        <v>1</v>
      </c>
      <c r="J1298" s="136">
        <v>1</v>
      </c>
      <c r="K1298" s="138">
        <f t="shared" ref="K1298:K1304" si="116">I1298*J1298</f>
        <v>1</v>
      </c>
    </row>
    <row r="1299" spans="1:11">
      <c r="A1299" s="136" t="s">
        <v>1208</v>
      </c>
      <c r="B1299" s="137" t="s">
        <v>792</v>
      </c>
      <c r="C1299" s="137" t="s">
        <v>698</v>
      </c>
      <c r="D1299" s="137">
        <v>37372</v>
      </c>
      <c r="E1299" s="136" t="s">
        <v>655</v>
      </c>
      <c r="F1299" s="1033" t="s">
        <v>1703</v>
      </c>
      <c r="G1299" s="1034"/>
      <c r="H1299" s="137" t="s">
        <v>412</v>
      </c>
      <c r="I1299" s="136">
        <v>1</v>
      </c>
      <c r="J1299" s="136">
        <v>0.81</v>
      </c>
      <c r="K1299" s="138">
        <f t="shared" si="116"/>
        <v>0.81</v>
      </c>
    </row>
    <row r="1300" spans="1:11">
      <c r="A1300" s="136" t="s">
        <v>1208</v>
      </c>
      <c r="B1300" s="137" t="s">
        <v>792</v>
      </c>
      <c r="C1300" s="137" t="s">
        <v>698</v>
      </c>
      <c r="D1300" s="137">
        <v>37373</v>
      </c>
      <c r="E1300" s="136" t="s">
        <v>656</v>
      </c>
      <c r="F1300" s="1033" t="s">
        <v>1890</v>
      </c>
      <c r="G1300" s="1034"/>
      <c r="H1300" s="137" t="s">
        <v>412</v>
      </c>
      <c r="I1300" s="136">
        <v>1</v>
      </c>
      <c r="J1300" s="136">
        <v>0.06</v>
      </c>
      <c r="K1300" s="138">
        <f t="shared" si="116"/>
        <v>0.06</v>
      </c>
    </row>
    <row r="1301" spans="1:11">
      <c r="A1301" s="136" t="s">
        <v>1208</v>
      </c>
      <c r="B1301" s="137" t="s">
        <v>792</v>
      </c>
      <c r="C1301" s="137" t="s">
        <v>698</v>
      </c>
      <c r="D1301" s="137">
        <v>37666</v>
      </c>
      <c r="E1301" s="136" t="s">
        <v>2000</v>
      </c>
      <c r="F1301" s="1033" t="s">
        <v>1702</v>
      </c>
      <c r="G1301" s="1034"/>
      <c r="H1301" s="137" t="s">
        <v>412</v>
      </c>
      <c r="I1301" s="136">
        <v>1</v>
      </c>
      <c r="J1301" s="136">
        <v>21.72</v>
      </c>
      <c r="K1301" s="138">
        <f t="shared" si="116"/>
        <v>21.72</v>
      </c>
    </row>
    <row r="1302" spans="1:11" ht="24.75">
      <c r="A1302" s="136" t="s">
        <v>1208</v>
      </c>
      <c r="B1302" s="137" t="s">
        <v>792</v>
      </c>
      <c r="C1302" s="137" t="s">
        <v>698</v>
      </c>
      <c r="D1302" s="137">
        <v>43464</v>
      </c>
      <c r="E1302" s="136" t="s">
        <v>2041</v>
      </c>
      <c r="F1302" s="1033" t="s">
        <v>1704</v>
      </c>
      <c r="G1302" s="1034"/>
      <c r="H1302" s="137" t="s">
        <v>412</v>
      </c>
      <c r="I1302" s="136">
        <v>1</v>
      </c>
      <c r="J1302" s="136">
        <v>0.01</v>
      </c>
      <c r="K1302" s="138">
        <f t="shared" si="116"/>
        <v>0.01</v>
      </c>
    </row>
    <row r="1303" spans="1:11">
      <c r="A1303" s="136" t="s">
        <v>1208</v>
      </c>
      <c r="B1303" s="137" t="s">
        <v>792</v>
      </c>
      <c r="C1303" s="137" t="s">
        <v>698</v>
      </c>
      <c r="D1303" s="137">
        <v>43488</v>
      </c>
      <c r="E1303" s="136" t="s">
        <v>2042</v>
      </c>
      <c r="F1303" s="1033" t="s">
        <v>1704</v>
      </c>
      <c r="G1303" s="1034"/>
      <c r="H1303" s="137" t="s">
        <v>412</v>
      </c>
      <c r="I1303" s="136">
        <v>1</v>
      </c>
      <c r="J1303" s="136">
        <v>0.76</v>
      </c>
      <c r="K1303" s="138">
        <f t="shared" si="116"/>
        <v>0.76</v>
      </c>
    </row>
    <row r="1304" spans="1:11" ht="24.75">
      <c r="A1304" s="136" t="s">
        <v>1208</v>
      </c>
      <c r="B1304" s="137" t="s">
        <v>1705</v>
      </c>
      <c r="C1304" s="137" t="s">
        <v>698</v>
      </c>
      <c r="D1304" s="137">
        <v>95389</v>
      </c>
      <c r="E1304" s="136" t="s">
        <v>1999</v>
      </c>
      <c r="F1304" s="1033" t="s">
        <v>1706</v>
      </c>
      <c r="G1304" s="1034"/>
      <c r="H1304" s="137" t="s">
        <v>412</v>
      </c>
      <c r="I1304" s="136">
        <v>1</v>
      </c>
      <c r="J1304" s="136">
        <v>0.14000000000000001</v>
      </c>
      <c r="K1304" s="138">
        <f t="shared" si="116"/>
        <v>0.14000000000000001</v>
      </c>
    </row>
    <row r="1305" spans="1:11">
      <c r="A1305" s="139"/>
      <c r="E1305" s="139"/>
      <c r="F1305" s="139"/>
      <c r="I1305" s="139"/>
      <c r="J1305" s="139"/>
      <c r="K1305" s="140"/>
    </row>
    <row r="1306" spans="1:11">
      <c r="A1306" s="139"/>
      <c r="E1306" s="139"/>
      <c r="F1306" s="139"/>
      <c r="I1306" s="139"/>
      <c r="J1306" s="139"/>
      <c r="K1306" s="140"/>
    </row>
    <row r="1307" spans="1:11" ht="15.75">
      <c r="A1307" s="132" t="s">
        <v>2045</v>
      </c>
      <c r="B1307" s="133" t="s">
        <v>1700</v>
      </c>
      <c r="C1307" s="133" t="s">
        <v>698</v>
      </c>
      <c r="D1307" s="133">
        <v>88301</v>
      </c>
      <c r="E1307" s="134" t="s">
        <v>2046</v>
      </c>
      <c r="F1307" s="134" t="s">
        <v>601</v>
      </c>
      <c r="G1307" s="133"/>
      <c r="H1307" s="133" t="s">
        <v>412</v>
      </c>
      <c r="I1307" s="134"/>
      <c r="J1307" s="146"/>
      <c r="K1307" s="135">
        <f>SUM(K1309:K1316)</f>
        <v>35.89</v>
      </c>
    </row>
    <row r="1308" spans="1:11" ht="50.1" customHeight="1">
      <c r="A1308" s="128"/>
      <c r="B1308" s="129" t="s">
        <v>1691</v>
      </c>
      <c r="C1308" s="129" t="s">
        <v>1692</v>
      </c>
      <c r="D1308" s="129" t="s">
        <v>1693</v>
      </c>
      <c r="E1308" s="130" t="s">
        <v>0</v>
      </c>
      <c r="F1308" s="130" t="s">
        <v>1694</v>
      </c>
      <c r="G1308" s="129"/>
      <c r="H1308" s="129" t="s">
        <v>1695</v>
      </c>
      <c r="I1308" s="130" t="s">
        <v>1696</v>
      </c>
      <c r="J1308" s="130" t="s">
        <v>1697</v>
      </c>
      <c r="K1308" s="131" t="s">
        <v>1698</v>
      </c>
    </row>
    <row r="1309" spans="1:11">
      <c r="A1309" s="136" t="s">
        <v>1208</v>
      </c>
      <c r="B1309" s="137" t="s">
        <v>792</v>
      </c>
      <c r="C1309" s="137" t="s">
        <v>698</v>
      </c>
      <c r="D1309" s="137">
        <v>4248</v>
      </c>
      <c r="E1309" s="136" t="s">
        <v>2003</v>
      </c>
      <c r="F1309" s="1033" t="s">
        <v>1702</v>
      </c>
      <c r="G1309" s="1034"/>
      <c r="H1309" s="137" t="s">
        <v>412</v>
      </c>
      <c r="I1309" s="136">
        <v>1</v>
      </c>
      <c r="J1309" s="136">
        <v>29.15</v>
      </c>
      <c r="K1309" s="138">
        <f>I1309*J1309</f>
        <v>29.15</v>
      </c>
    </row>
    <row r="1310" spans="1:11">
      <c r="A1310" s="136" t="s">
        <v>1208</v>
      </c>
      <c r="B1310" s="137" t="s">
        <v>792</v>
      </c>
      <c r="C1310" s="137" t="s">
        <v>698</v>
      </c>
      <c r="D1310" s="137">
        <v>37370</v>
      </c>
      <c r="E1310" s="136" t="s">
        <v>653</v>
      </c>
      <c r="F1310" s="1033" t="s">
        <v>1703</v>
      </c>
      <c r="G1310" s="1034"/>
      <c r="H1310" s="137" t="s">
        <v>412</v>
      </c>
      <c r="I1310" s="136">
        <v>1</v>
      </c>
      <c r="J1310" s="136">
        <v>3.91</v>
      </c>
      <c r="K1310" s="138">
        <f t="shared" ref="K1310:K1316" si="117">I1310*J1310</f>
        <v>3.91</v>
      </c>
    </row>
    <row r="1311" spans="1:11">
      <c r="A1311" s="136" t="s">
        <v>1208</v>
      </c>
      <c r="B1311" s="137" t="s">
        <v>792</v>
      </c>
      <c r="C1311" s="137" t="s">
        <v>698</v>
      </c>
      <c r="D1311" s="137">
        <v>37371</v>
      </c>
      <c r="E1311" s="136" t="s">
        <v>654</v>
      </c>
      <c r="F1311" s="1033" t="s">
        <v>1889</v>
      </c>
      <c r="G1311" s="1034"/>
      <c r="H1311" s="137" t="s">
        <v>412</v>
      </c>
      <c r="I1311" s="136">
        <v>1</v>
      </c>
      <c r="J1311" s="136">
        <v>1</v>
      </c>
      <c r="K1311" s="138">
        <f t="shared" si="117"/>
        <v>1</v>
      </c>
    </row>
    <row r="1312" spans="1:11">
      <c r="A1312" s="136" t="s">
        <v>1208</v>
      </c>
      <c r="B1312" s="137" t="s">
        <v>792</v>
      </c>
      <c r="C1312" s="137" t="s">
        <v>698</v>
      </c>
      <c r="D1312" s="137">
        <v>37372</v>
      </c>
      <c r="E1312" s="136" t="s">
        <v>655</v>
      </c>
      <c r="F1312" s="1033" t="s">
        <v>1703</v>
      </c>
      <c r="G1312" s="1034"/>
      <c r="H1312" s="137" t="s">
        <v>412</v>
      </c>
      <c r="I1312" s="136">
        <v>1</v>
      </c>
      <c r="J1312" s="136">
        <v>0.81</v>
      </c>
      <c r="K1312" s="138">
        <f t="shared" si="117"/>
        <v>0.81</v>
      </c>
    </row>
    <row r="1313" spans="1:11">
      <c r="A1313" s="136" t="s">
        <v>1208</v>
      </c>
      <c r="B1313" s="137" t="s">
        <v>792</v>
      </c>
      <c r="C1313" s="137" t="s">
        <v>698</v>
      </c>
      <c r="D1313" s="137">
        <v>37373</v>
      </c>
      <c r="E1313" s="136" t="s">
        <v>656</v>
      </c>
      <c r="F1313" s="1033" t="s">
        <v>1890</v>
      </c>
      <c r="G1313" s="1034"/>
      <c r="H1313" s="137" t="s">
        <v>412</v>
      </c>
      <c r="I1313" s="136">
        <v>1</v>
      </c>
      <c r="J1313" s="136">
        <v>0.06</v>
      </c>
      <c r="K1313" s="138">
        <f t="shared" si="117"/>
        <v>0.06</v>
      </c>
    </row>
    <row r="1314" spans="1:11" ht="24.75">
      <c r="A1314" s="136" t="s">
        <v>1208</v>
      </c>
      <c r="B1314" s="137" t="s">
        <v>792</v>
      </c>
      <c r="C1314" s="137" t="s">
        <v>698</v>
      </c>
      <c r="D1314" s="137">
        <v>43464</v>
      </c>
      <c r="E1314" s="136" t="s">
        <v>2041</v>
      </c>
      <c r="F1314" s="1033" t="s">
        <v>1704</v>
      </c>
      <c r="G1314" s="1034"/>
      <c r="H1314" s="137" t="s">
        <v>412</v>
      </c>
      <c r="I1314" s="136">
        <v>1</v>
      </c>
      <c r="J1314" s="136">
        <v>0.01</v>
      </c>
      <c r="K1314" s="138">
        <f t="shared" si="117"/>
        <v>0.01</v>
      </c>
    </row>
    <row r="1315" spans="1:11">
      <c r="A1315" s="136" t="s">
        <v>1208</v>
      </c>
      <c r="B1315" s="137" t="s">
        <v>792</v>
      </c>
      <c r="C1315" s="137" t="s">
        <v>698</v>
      </c>
      <c r="D1315" s="137">
        <v>43488</v>
      </c>
      <c r="E1315" s="136" t="s">
        <v>2042</v>
      </c>
      <c r="F1315" s="1033" t="s">
        <v>1704</v>
      </c>
      <c r="G1315" s="1034"/>
      <c r="H1315" s="137" t="s">
        <v>412</v>
      </c>
      <c r="I1315" s="136">
        <v>1</v>
      </c>
      <c r="J1315" s="136">
        <v>0.76</v>
      </c>
      <c r="K1315" s="138">
        <f t="shared" si="117"/>
        <v>0.76</v>
      </c>
    </row>
    <row r="1316" spans="1:11" ht="24.75">
      <c r="A1316" s="136" t="s">
        <v>1208</v>
      </c>
      <c r="B1316" s="137" t="s">
        <v>1705</v>
      </c>
      <c r="C1316" s="137" t="s">
        <v>698</v>
      </c>
      <c r="D1316" s="137">
        <v>95364</v>
      </c>
      <c r="E1316" s="136" t="s">
        <v>2002</v>
      </c>
      <c r="F1316" s="1033" t="s">
        <v>1706</v>
      </c>
      <c r="G1316" s="1034"/>
      <c r="H1316" s="137" t="s">
        <v>412</v>
      </c>
      <c r="I1316" s="136">
        <v>1</v>
      </c>
      <c r="J1316" s="136">
        <v>0.19</v>
      </c>
      <c r="K1316" s="138">
        <f t="shared" si="117"/>
        <v>0.19</v>
      </c>
    </row>
    <row r="1317" spans="1:11">
      <c r="A1317" s="139"/>
      <c r="E1317" s="139"/>
      <c r="F1317" s="139"/>
      <c r="I1317" s="139"/>
      <c r="J1317" s="139"/>
      <c r="K1317" s="140"/>
    </row>
    <row r="1318" spans="1:11">
      <c r="A1318" s="139"/>
      <c r="E1318" s="139"/>
      <c r="F1318" s="139"/>
      <c r="I1318" s="139"/>
      <c r="J1318" s="139"/>
      <c r="K1318" s="140"/>
    </row>
    <row r="1319" spans="1:11" ht="47.25">
      <c r="A1319" s="132" t="s">
        <v>2047</v>
      </c>
      <c r="B1319" s="133" t="s">
        <v>1700</v>
      </c>
      <c r="C1319" s="133" t="s">
        <v>698</v>
      </c>
      <c r="D1319" s="133">
        <v>5942</v>
      </c>
      <c r="E1319" s="134" t="s">
        <v>436</v>
      </c>
      <c r="F1319" s="134" t="s">
        <v>1933</v>
      </c>
      <c r="G1319" s="133"/>
      <c r="H1319" s="133" t="s">
        <v>408</v>
      </c>
      <c r="I1319" s="134"/>
      <c r="J1319" s="146"/>
      <c r="K1319" s="135">
        <f>SUM(K1321:K1323)</f>
        <v>89.31</v>
      </c>
    </row>
    <row r="1320" spans="1:11" ht="50.1" customHeight="1">
      <c r="A1320" s="128"/>
      <c r="B1320" s="129" t="s">
        <v>1691</v>
      </c>
      <c r="C1320" s="129" t="s">
        <v>1692</v>
      </c>
      <c r="D1320" s="129" t="s">
        <v>1693</v>
      </c>
      <c r="E1320" s="130" t="s">
        <v>0</v>
      </c>
      <c r="F1320" s="130" t="s">
        <v>1694</v>
      </c>
      <c r="G1320" s="129"/>
      <c r="H1320" s="129" t="s">
        <v>1695</v>
      </c>
      <c r="I1320" s="130" t="s">
        <v>1696</v>
      </c>
      <c r="J1320" s="130" t="s">
        <v>1697</v>
      </c>
      <c r="K1320" s="131" t="s">
        <v>1698</v>
      </c>
    </row>
    <row r="1321" spans="1:11">
      <c r="A1321" s="136" t="s">
        <v>1208</v>
      </c>
      <c r="B1321" s="137" t="s">
        <v>1705</v>
      </c>
      <c r="C1321" s="137" t="s">
        <v>698</v>
      </c>
      <c r="D1321" s="137">
        <v>88301</v>
      </c>
      <c r="E1321" s="136" t="s">
        <v>2046</v>
      </c>
      <c r="F1321" s="1033" t="s">
        <v>1706</v>
      </c>
      <c r="G1321" s="1034"/>
      <c r="H1321" s="137" t="s">
        <v>412</v>
      </c>
      <c r="I1321" s="136">
        <v>1</v>
      </c>
      <c r="J1321" s="136">
        <v>35.89</v>
      </c>
      <c r="K1321" s="138">
        <f>I1321*J1321</f>
        <v>35.89</v>
      </c>
    </row>
    <row r="1322" spans="1:11" ht="24.75">
      <c r="A1322" s="136" t="s">
        <v>1208</v>
      </c>
      <c r="B1322" s="137" t="s">
        <v>1705</v>
      </c>
      <c r="C1322" s="137" t="s">
        <v>698</v>
      </c>
      <c r="D1322" s="137">
        <v>89128</v>
      </c>
      <c r="E1322" s="136" t="s">
        <v>2048</v>
      </c>
      <c r="F1322" s="1033" t="s">
        <v>1737</v>
      </c>
      <c r="G1322" s="1034"/>
      <c r="H1322" s="137" t="s">
        <v>412</v>
      </c>
      <c r="I1322" s="136">
        <v>1</v>
      </c>
      <c r="J1322" s="136">
        <v>47.04</v>
      </c>
      <c r="K1322" s="138">
        <f t="shared" ref="K1322:K1323" si="118">I1322*J1322</f>
        <v>47.04</v>
      </c>
    </row>
    <row r="1323" spans="1:11" ht="24.75">
      <c r="A1323" s="136" t="s">
        <v>1208</v>
      </c>
      <c r="B1323" s="137" t="s">
        <v>1705</v>
      </c>
      <c r="C1323" s="137" t="s">
        <v>698</v>
      </c>
      <c r="D1323" s="137">
        <v>89129</v>
      </c>
      <c r="E1323" s="136" t="s">
        <v>2049</v>
      </c>
      <c r="F1323" s="1033" t="s">
        <v>1737</v>
      </c>
      <c r="G1323" s="1034"/>
      <c r="H1323" s="137" t="s">
        <v>412</v>
      </c>
      <c r="I1323" s="136">
        <v>1</v>
      </c>
      <c r="J1323" s="136">
        <v>6.38</v>
      </c>
      <c r="K1323" s="138">
        <f t="shared" si="118"/>
        <v>6.38</v>
      </c>
    </row>
    <row r="1324" spans="1:11">
      <c r="A1324" s="139"/>
      <c r="E1324" s="139"/>
      <c r="F1324" s="139"/>
      <c r="I1324" s="139"/>
      <c r="J1324" s="139"/>
      <c r="K1324" s="140"/>
    </row>
    <row r="1325" spans="1:11">
      <c r="A1325" s="139"/>
      <c r="E1325" s="139"/>
      <c r="F1325" s="139"/>
      <c r="I1325" s="139"/>
      <c r="J1325" s="139"/>
      <c r="K1325" s="140"/>
    </row>
    <row r="1326" spans="1:11" ht="47.25">
      <c r="A1326" s="132" t="s">
        <v>2050</v>
      </c>
      <c r="B1326" s="133" t="s">
        <v>1700</v>
      </c>
      <c r="C1326" s="133" t="s">
        <v>698</v>
      </c>
      <c r="D1326" s="133">
        <v>5940</v>
      </c>
      <c r="E1326" s="134" t="s">
        <v>433</v>
      </c>
      <c r="F1326" s="134" t="s">
        <v>1933</v>
      </c>
      <c r="G1326" s="133"/>
      <c r="H1326" s="133" t="s">
        <v>407</v>
      </c>
      <c r="I1326" s="134"/>
      <c r="J1326" s="146"/>
      <c r="K1326" s="135">
        <f>SUM(K1328:K1332)</f>
        <v>225.63999999999996</v>
      </c>
    </row>
    <row r="1327" spans="1:11" ht="50.1" customHeight="1">
      <c r="A1327" s="128"/>
      <c r="B1327" s="129" t="s">
        <v>1691</v>
      </c>
      <c r="C1327" s="129" t="s">
        <v>1692</v>
      </c>
      <c r="D1327" s="129" t="s">
        <v>1693</v>
      </c>
      <c r="E1327" s="130" t="s">
        <v>0</v>
      </c>
      <c r="F1327" s="130" t="s">
        <v>1694</v>
      </c>
      <c r="G1327" s="129"/>
      <c r="H1327" s="129" t="s">
        <v>1695</v>
      </c>
      <c r="I1327" s="130" t="s">
        <v>1696</v>
      </c>
      <c r="J1327" s="130" t="s">
        <v>1697</v>
      </c>
      <c r="K1327" s="131" t="s">
        <v>1698</v>
      </c>
    </row>
    <row r="1328" spans="1:11" ht="24.75">
      <c r="A1328" s="136" t="s">
        <v>1208</v>
      </c>
      <c r="B1328" s="137" t="s">
        <v>1705</v>
      </c>
      <c r="C1328" s="137" t="s">
        <v>698</v>
      </c>
      <c r="D1328" s="137">
        <v>53857</v>
      </c>
      <c r="E1328" s="136" t="s">
        <v>2051</v>
      </c>
      <c r="F1328" s="1033" t="s">
        <v>1737</v>
      </c>
      <c r="G1328" s="1034"/>
      <c r="H1328" s="137" t="s">
        <v>412</v>
      </c>
      <c r="I1328" s="136">
        <v>1</v>
      </c>
      <c r="J1328" s="136">
        <v>84</v>
      </c>
      <c r="K1328" s="138">
        <f>I1328*J1328</f>
        <v>84</v>
      </c>
    </row>
    <row r="1329" spans="1:11" ht="24.75">
      <c r="A1329" s="136" t="s">
        <v>1208</v>
      </c>
      <c r="B1329" s="137" t="s">
        <v>1705</v>
      </c>
      <c r="C1329" s="137" t="s">
        <v>698</v>
      </c>
      <c r="D1329" s="137">
        <v>53858</v>
      </c>
      <c r="E1329" s="136" t="s">
        <v>2052</v>
      </c>
      <c r="F1329" s="1033" t="s">
        <v>1737</v>
      </c>
      <c r="G1329" s="1034"/>
      <c r="H1329" s="137" t="s">
        <v>412</v>
      </c>
      <c r="I1329" s="136">
        <v>1</v>
      </c>
      <c r="J1329" s="136">
        <v>52.33</v>
      </c>
      <c r="K1329" s="138">
        <f t="shared" ref="K1329:K1333" si="119">I1329*J1329</f>
        <v>52.33</v>
      </c>
    </row>
    <row r="1330" spans="1:11">
      <c r="A1330" s="136" t="s">
        <v>1208</v>
      </c>
      <c r="B1330" s="137" t="s">
        <v>1705</v>
      </c>
      <c r="C1330" s="137" t="s">
        <v>698</v>
      </c>
      <c r="D1330" s="137">
        <v>88301</v>
      </c>
      <c r="E1330" s="136" t="s">
        <v>2046</v>
      </c>
      <c r="F1330" s="1033" t="s">
        <v>1706</v>
      </c>
      <c r="G1330" s="1034"/>
      <c r="H1330" s="137" t="s">
        <v>412</v>
      </c>
      <c r="I1330" s="136">
        <v>1</v>
      </c>
      <c r="J1330" s="136">
        <v>35.89</v>
      </c>
      <c r="K1330" s="138">
        <f t="shared" si="119"/>
        <v>35.89</v>
      </c>
    </row>
    <row r="1331" spans="1:11" ht="24.75">
      <c r="A1331" s="136" t="s">
        <v>1208</v>
      </c>
      <c r="B1331" s="137" t="s">
        <v>1705</v>
      </c>
      <c r="C1331" s="137" t="s">
        <v>698</v>
      </c>
      <c r="D1331" s="137">
        <v>89128</v>
      </c>
      <c r="E1331" s="136" t="s">
        <v>2048</v>
      </c>
      <c r="F1331" s="1033" t="s">
        <v>1737</v>
      </c>
      <c r="G1331" s="1034"/>
      <c r="H1331" s="137" t="s">
        <v>412</v>
      </c>
      <c r="I1331" s="136">
        <v>1</v>
      </c>
      <c r="J1331" s="136">
        <v>47.04</v>
      </c>
      <c r="K1331" s="138">
        <f t="shared" si="119"/>
        <v>47.04</v>
      </c>
    </row>
    <row r="1332" spans="1:11" ht="24.75">
      <c r="A1332" s="136" t="s">
        <v>1208</v>
      </c>
      <c r="B1332" s="137" t="s">
        <v>1705</v>
      </c>
      <c r="C1332" s="137" t="s">
        <v>698</v>
      </c>
      <c r="D1332" s="137">
        <v>89129</v>
      </c>
      <c r="E1332" s="136" t="s">
        <v>2049</v>
      </c>
      <c r="F1332" s="1033" t="s">
        <v>1737</v>
      </c>
      <c r="G1332" s="1034"/>
      <c r="H1332" s="137" t="s">
        <v>412</v>
      </c>
      <c r="I1332" s="136">
        <v>1</v>
      </c>
      <c r="J1332" s="136">
        <v>6.38</v>
      </c>
      <c r="K1332" s="138">
        <f t="shared" si="119"/>
        <v>6.38</v>
      </c>
    </row>
    <row r="1333" spans="1:11">
      <c r="A1333" s="139"/>
      <c r="E1333" s="139"/>
      <c r="F1333" s="139"/>
      <c r="I1333" s="139"/>
      <c r="J1333" s="139"/>
      <c r="K1333" s="138">
        <f t="shared" si="119"/>
        <v>0</v>
      </c>
    </row>
    <row r="1334" spans="1:11">
      <c r="A1334" s="139"/>
      <c r="E1334" s="139"/>
      <c r="F1334" s="139"/>
      <c r="I1334" s="139"/>
      <c r="J1334" s="139"/>
      <c r="K1334" s="140"/>
    </row>
    <row r="1335" spans="1:11" ht="47.25">
      <c r="A1335" s="132" t="s">
        <v>2053</v>
      </c>
      <c r="B1335" s="133" t="s">
        <v>1700</v>
      </c>
      <c r="C1335" s="133" t="s">
        <v>698</v>
      </c>
      <c r="D1335" s="133">
        <v>89128</v>
      </c>
      <c r="E1335" s="134" t="s">
        <v>2048</v>
      </c>
      <c r="F1335" s="134" t="s">
        <v>1933</v>
      </c>
      <c r="G1335" s="133"/>
      <c r="H1335" s="133" t="s">
        <v>412</v>
      </c>
      <c r="I1335" s="134"/>
      <c r="J1335" s="135"/>
      <c r="K1335" s="135">
        <f>SUM(K1337)</f>
        <v>47.04</v>
      </c>
    </row>
    <row r="1336" spans="1:11" ht="50.1" customHeight="1">
      <c r="A1336" s="128"/>
      <c r="B1336" s="129" t="s">
        <v>1691</v>
      </c>
      <c r="C1336" s="129" t="s">
        <v>1692</v>
      </c>
      <c r="D1336" s="129" t="s">
        <v>1693</v>
      </c>
      <c r="E1336" s="130" t="s">
        <v>0</v>
      </c>
      <c r="F1336" s="130" t="s">
        <v>1694</v>
      </c>
      <c r="G1336" s="129"/>
      <c r="H1336" s="129" t="s">
        <v>1695</v>
      </c>
      <c r="I1336" s="130" t="s">
        <v>1696</v>
      </c>
      <c r="J1336" s="130" t="s">
        <v>1697</v>
      </c>
      <c r="K1336" s="131" t="s">
        <v>1698</v>
      </c>
    </row>
    <row r="1337" spans="1:11" ht="24.75">
      <c r="A1337" s="136" t="s">
        <v>1208</v>
      </c>
      <c r="B1337" s="137" t="s">
        <v>792</v>
      </c>
      <c r="C1337" s="137" t="s">
        <v>698</v>
      </c>
      <c r="D1337" s="137">
        <v>4262</v>
      </c>
      <c r="E1337" s="136" t="s">
        <v>2054</v>
      </c>
      <c r="F1337" s="1033" t="s">
        <v>1704</v>
      </c>
      <c r="G1337" s="1034"/>
      <c r="H1337" s="137" t="s">
        <v>411</v>
      </c>
      <c r="I1337" s="136">
        <v>5.5999999999999999E-5</v>
      </c>
      <c r="J1337" s="144">
        <v>840000</v>
      </c>
      <c r="K1337" s="138">
        <f>I1337*J1337</f>
        <v>47.04</v>
      </c>
    </row>
    <row r="1338" spans="1:11">
      <c r="A1338" s="139"/>
      <c r="E1338" s="139"/>
      <c r="F1338" s="139"/>
      <c r="I1338" s="139"/>
      <c r="J1338" s="139"/>
      <c r="K1338" s="140"/>
    </row>
    <row r="1339" spans="1:11">
      <c r="A1339" s="139"/>
      <c r="E1339" s="139"/>
      <c r="F1339" s="139"/>
      <c r="I1339" s="139"/>
      <c r="J1339" s="139"/>
      <c r="K1339" s="140"/>
    </row>
    <row r="1340" spans="1:11" ht="47.25">
      <c r="A1340" s="132" t="s">
        <v>2055</v>
      </c>
      <c r="B1340" s="133" t="s">
        <v>1700</v>
      </c>
      <c r="C1340" s="133" t="s">
        <v>698</v>
      </c>
      <c r="D1340" s="133">
        <v>89129</v>
      </c>
      <c r="E1340" s="134" t="s">
        <v>2049</v>
      </c>
      <c r="F1340" s="134" t="s">
        <v>1933</v>
      </c>
      <c r="G1340" s="133"/>
      <c r="H1340" s="133" t="s">
        <v>412</v>
      </c>
      <c r="I1340" s="134"/>
      <c r="J1340" s="146"/>
      <c r="K1340" s="135">
        <f>K1342</f>
        <v>6.3840000000000003</v>
      </c>
    </row>
    <row r="1341" spans="1:11" ht="50.1" customHeight="1">
      <c r="A1341" s="128"/>
      <c r="B1341" s="129" t="s">
        <v>1691</v>
      </c>
      <c r="C1341" s="129" t="s">
        <v>1692</v>
      </c>
      <c r="D1341" s="129" t="s">
        <v>1693</v>
      </c>
      <c r="E1341" s="130" t="s">
        <v>0</v>
      </c>
      <c r="F1341" s="130" t="s">
        <v>1694</v>
      </c>
      <c r="G1341" s="129"/>
      <c r="H1341" s="129" t="s">
        <v>1695</v>
      </c>
      <c r="I1341" s="130" t="s">
        <v>1696</v>
      </c>
      <c r="J1341" s="130" t="s">
        <v>1697</v>
      </c>
      <c r="K1341" s="131" t="s">
        <v>1698</v>
      </c>
    </row>
    <row r="1342" spans="1:11" ht="24.75">
      <c r="A1342" s="136" t="s">
        <v>1208</v>
      </c>
      <c r="B1342" s="137" t="s">
        <v>792</v>
      </c>
      <c r="C1342" s="137" t="s">
        <v>698</v>
      </c>
      <c r="D1342" s="137">
        <v>4262</v>
      </c>
      <c r="E1342" s="136" t="s">
        <v>2054</v>
      </c>
      <c r="F1342" s="1033" t="s">
        <v>1704</v>
      </c>
      <c r="G1342" s="1034"/>
      <c r="H1342" s="137" t="s">
        <v>411</v>
      </c>
      <c r="I1342" s="136">
        <v>7.6000000000000001E-6</v>
      </c>
      <c r="J1342" s="136">
        <v>840000</v>
      </c>
      <c r="K1342" s="138">
        <f>I1342*J1342</f>
        <v>6.3840000000000003</v>
      </c>
    </row>
    <row r="1343" spans="1:11">
      <c r="A1343" s="139"/>
      <c r="E1343" s="139"/>
      <c r="F1343" s="139"/>
      <c r="I1343" s="139"/>
      <c r="J1343" s="139"/>
      <c r="K1343" s="140"/>
    </row>
    <row r="1344" spans="1:11">
      <c r="A1344" s="139"/>
      <c r="E1344" s="139"/>
      <c r="F1344" s="139"/>
      <c r="I1344" s="139"/>
      <c r="J1344" s="139"/>
      <c r="K1344" s="140"/>
    </row>
    <row r="1345" spans="1:11" ht="47.25">
      <c r="A1345" s="132" t="s">
        <v>2056</v>
      </c>
      <c r="B1345" s="133" t="s">
        <v>1700</v>
      </c>
      <c r="C1345" s="133" t="s">
        <v>698</v>
      </c>
      <c r="D1345" s="133">
        <v>53857</v>
      </c>
      <c r="E1345" s="134" t="s">
        <v>2051</v>
      </c>
      <c r="F1345" s="134" t="s">
        <v>1933</v>
      </c>
      <c r="G1345" s="133"/>
      <c r="H1345" s="133" t="s">
        <v>412</v>
      </c>
      <c r="I1345" s="134"/>
      <c r="J1345" s="146"/>
      <c r="K1345" s="135">
        <f>K1347</f>
        <v>84</v>
      </c>
    </row>
    <row r="1346" spans="1:11" ht="50.1" customHeight="1">
      <c r="A1346" s="128"/>
      <c r="B1346" s="129" t="s">
        <v>1691</v>
      </c>
      <c r="C1346" s="129" t="s">
        <v>1692</v>
      </c>
      <c r="D1346" s="129" t="s">
        <v>1693</v>
      </c>
      <c r="E1346" s="130" t="s">
        <v>0</v>
      </c>
      <c r="F1346" s="130" t="s">
        <v>1694</v>
      </c>
      <c r="G1346" s="129"/>
      <c r="H1346" s="129" t="s">
        <v>1695</v>
      </c>
      <c r="I1346" s="130" t="s">
        <v>1696</v>
      </c>
      <c r="J1346" s="130" t="s">
        <v>1697</v>
      </c>
      <c r="K1346" s="131" t="s">
        <v>1698</v>
      </c>
    </row>
    <row r="1347" spans="1:11" ht="24.75">
      <c r="A1347" s="136" t="s">
        <v>1208</v>
      </c>
      <c r="B1347" s="137" t="s">
        <v>792</v>
      </c>
      <c r="C1347" s="137" t="s">
        <v>698</v>
      </c>
      <c r="D1347" s="137">
        <v>4262</v>
      </c>
      <c r="E1347" s="136" t="s">
        <v>2054</v>
      </c>
      <c r="F1347" s="1033" t="s">
        <v>1704</v>
      </c>
      <c r="G1347" s="1034"/>
      <c r="H1347" s="137" t="s">
        <v>411</v>
      </c>
      <c r="I1347" s="136">
        <v>1E-4</v>
      </c>
      <c r="J1347" s="136">
        <v>840000</v>
      </c>
      <c r="K1347" s="138">
        <f>I1347*J1347</f>
        <v>84</v>
      </c>
    </row>
    <row r="1348" spans="1:11">
      <c r="A1348" s="139"/>
      <c r="E1348" s="139"/>
      <c r="F1348" s="139"/>
      <c r="I1348" s="139"/>
      <c r="J1348" s="139"/>
      <c r="K1348" s="140"/>
    </row>
    <row r="1349" spans="1:11">
      <c r="A1349" s="139"/>
      <c r="E1349" s="139"/>
      <c r="F1349" s="139"/>
      <c r="I1349" s="139"/>
      <c r="J1349" s="139"/>
      <c r="K1349" s="140"/>
    </row>
    <row r="1350" spans="1:11" ht="47.25">
      <c r="A1350" s="132" t="s">
        <v>2057</v>
      </c>
      <c r="B1350" s="133" t="s">
        <v>1700</v>
      </c>
      <c r="C1350" s="133" t="s">
        <v>698</v>
      </c>
      <c r="D1350" s="133">
        <v>53858</v>
      </c>
      <c r="E1350" s="134" t="s">
        <v>2052</v>
      </c>
      <c r="F1350" s="134" t="s">
        <v>1933</v>
      </c>
      <c r="G1350" s="133"/>
      <c r="H1350" s="133" t="s">
        <v>412</v>
      </c>
      <c r="I1350" s="134"/>
      <c r="J1350" s="146"/>
      <c r="K1350" s="135">
        <f>K1352</f>
        <v>52.333999999999996</v>
      </c>
    </row>
    <row r="1351" spans="1:11" ht="50.1" customHeight="1">
      <c r="A1351" s="128"/>
      <c r="B1351" s="129" t="s">
        <v>1691</v>
      </c>
      <c r="C1351" s="129" t="s">
        <v>1692</v>
      </c>
      <c r="D1351" s="129" t="s">
        <v>1693</v>
      </c>
      <c r="E1351" s="130" t="s">
        <v>0</v>
      </c>
      <c r="F1351" s="130" t="s">
        <v>1694</v>
      </c>
      <c r="G1351" s="129"/>
      <c r="H1351" s="129" t="s">
        <v>1695</v>
      </c>
      <c r="I1351" s="130" t="s">
        <v>1696</v>
      </c>
      <c r="J1351" s="130" t="s">
        <v>1697</v>
      </c>
      <c r="K1351" s="131" t="s">
        <v>1698</v>
      </c>
    </row>
    <row r="1352" spans="1:11">
      <c r="A1352" s="136" t="s">
        <v>1208</v>
      </c>
      <c r="B1352" s="137" t="s">
        <v>792</v>
      </c>
      <c r="C1352" s="137" t="s">
        <v>698</v>
      </c>
      <c r="D1352" s="137">
        <v>4221</v>
      </c>
      <c r="E1352" s="136" t="s">
        <v>1961</v>
      </c>
      <c r="F1352" s="1033" t="s">
        <v>1703</v>
      </c>
      <c r="G1352" s="1034"/>
      <c r="H1352" s="137" t="s">
        <v>438</v>
      </c>
      <c r="I1352" s="136">
        <v>7.64</v>
      </c>
      <c r="J1352" s="136">
        <v>6.85</v>
      </c>
      <c r="K1352" s="138">
        <f>I1352*J1352</f>
        <v>52.333999999999996</v>
      </c>
    </row>
    <row r="1353" spans="1:11">
      <c r="A1353" s="139"/>
      <c r="E1353" s="139"/>
      <c r="F1353" s="139"/>
      <c r="I1353" s="139"/>
      <c r="J1353" s="139"/>
      <c r="K1353" s="140"/>
    </row>
    <row r="1354" spans="1:11">
      <c r="A1354" s="139"/>
      <c r="E1354" s="139"/>
      <c r="F1354" s="139"/>
      <c r="I1354" s="139"/>
      <c r="J1354" s="139"/>
      <c r="K1354" s="140"/>
    </row>
    <row r="1355" spans="1:11" ht="15.75">
      <c r="A1355" s="132" t="s">
        <v>2058</v>
      </c>
      <c r="B1355" s="133" t="s">
        <v>1700</v>
      </c>
      <c r="C1355" s="133" t="s">
        <v>698</v>
      </c>
      <c r="D1355" s="133">
        <v>88309</v>
      </c>
      <c r="E1355" s="134" t="s">
        <v>445</v>
      </c>
      <c r="F1355" s="134" t="s">
        <v>601</v>
      </c>
      <c r="G1355" s="133"/>
      <c r="H1355" s="133" t="s">
        <v>412</v>
      </c>
      <c r="I1355" s="134"/>
      <c r="J1355" s="146"/>
      <c r="K1355" s="135">
        <f>SUM(K1357:K1364)</f>
        <v>32.65</v>
      </c>
    </row>
    <row r="1356" spans="1:11" ht="50.1" customHeight="1">
      <c r="A1356" s="128"/>
      <c r="B1356" s="129" t="s">
        <v>1691</v>
      </c>
      <c r="C1356" s="129" t="s">
        <v>1692</v>
      </c>
      <c r="D1356" s="129" t="s">
        <v>1693</v>
      </c>
      <c r="E1356" s="130" t="s">
        <v>0</v>
      </c>
      <c r="F1356" s="130" t="s">
        <v>1694</v>
      </c>
      <c r="G1356" s="129"/>
      <c r="H1356" s="129" t="s">
        <v>1695</v>
      </c>
      <c r="I1356" s="130" t="s">
        <v>1696</v>
      </c>
      <c r="J1356" s="130" t="s">
        <v>1697</v>
      </c>
      <c r="K1356" s="131" t="s">
        <v>1698</v>
      </c>
    </row>
    <row r="1357" spans="1:11">
      <c r="A1357" s="136" t="s">
        <v>1208</v>
      </c>
      <c r="B1357" s="137" t="s">
        <v>792</v>
      </c>
      <c r="C1357" s="137" t="s">
        <v>698</v>
      </c>
      <c r="D1357" s="137">
        <v>4750</v>
      </c>
      <c r="E1357" s="136" t="s">
        <v>2006</v>
      </c>
      <c r="F1357" s="1033" t="s">
        <v>1702</v>
      </c>
      <c r="G1357" s="1034"/>
      <c r="H1357" s="137" t="s">
        <v>412</v>
      </c>
      <c r="I1357" s="136">
        <v>1</v>
      </c>
      <c r="J1357" s="136">
        <v>24.62</v>
      </c>
      <c r="K1357" s="138">
        <f>I1357*J1357</f>
        <v>24.62</v>
      </c>
    </row>
    <row r="1358" spans="1:11">
      <c r="A1358" s="136" t="s">
        <v>1208</v>
      </c>
      <c r="B1358" s="137" t="s">
        <v>792</v>
      </c>
      <c r="C1358" s="137" t="s">
        <v>698</v>
      </c>
      <c r="D1358" s="137">
        <v>37370</v>
      </c>
      <c r="E1358" s="136" t="s">
        <v>653</v>
      </c>
      <c r="F1358" s="1033" t="s">
        <v>1703</v>
      </c>
      <c r="G1358" s="1034"/>
      <c r="H1358" s="137" t="s">
        <v>412</v>
      </c>
      <c r="I1358" s="136">
        <v>1</v>
      </c>
      <c r="J1358" s="136">
        <v>3.91</v>
      </c>
      <c r="K1358" s="138">
        <f t="shared" ref="K1358:K1364" si="120">I1358*J1358</f>
        <v>3.91</v>
      </c>
    </row>
    <row r="1359" spans="1:11">
      <c r="A1359" s="136" t="s">
        <v>1208</v>
      </c>
      <c r="B1359" s="137" t="s">
        <v>792</v>
      </c>
      <c r="C1359" s="137" t="s">
        <v>698</v>
      </c>
      <c r="D1359" s="137">
        <v>37371</v>
      </c>
      <c r="E1359" s="136" t="s">
        <v>654</v>
      </c>
      <c r="F1359" s="1033" t="s">
        <v>1889</v>
      </c>
      <c r="G1359" s="1034"/>
      <c r="H1359" s="137" t="s">
        <v>412</v>
      </c>
      <c r="I1359" s="136">
        <v>1</v>
      </c>
      <c r="J1359" s="136">
        <v>1</v>
      </c>
      <c r="K1359" s="138">
        <f t="shared" si="120"/>
        <v>1</v>
      </c>
    </row>
    <row r="1360" spans="1:11">
      <c r="A1360" s="136" t="s">
        <v>1208</v>
      </c>
      <c r="B1360" s="137" t="s">
        <v>792</v>
      </c>
      <c r="C1360" s="137" t="s">
        <v>698</v>
      </c>
      <c r="D1360" s="137">
        <v>37372</v>
      </c>
      <c r="E1360" s="136" t="s">
        <v>655</v>
      </c>
      <c r="F1360" s="1033" t="s">
        <v>1703</v>
      </c>
      <c r="G1360" s="1034"/>
      <c r="H1360" s="137" t="s">
        <v>412</v>
      </c>
      <c r="I1360" s="136">
        <v>1</v>
      </c>
      <c r="J1360" s="136">
        <v>0.81</v>
      </c>
      <c r="K1360" s="138">
        <f t="shared" si="120"/>
        <v>0.81</v>
      </c>
    </row>
    <row r="1361" spans="1:11">
      <c r="A1361" s="136" t="s">
        <v>1208</v>
      </c>
      <c r="B1361" s="137" t="s">
        <v>792</v>
      </c>
      <c r="C1361" s="137" t="s">
        <v>698</v>
      </c>
      <c r="D1361" s="137">
        <v>37373</v>
      </c>
      <c r="E1361" s="136" t="s">
        <v>656</v>
      </c>
      <c r="F1361" s="1033" t="s">
        <v>1890</v>
      </c>
      <c r="G1361" s="1034"/>
      <c r="H1361" s="137" t="s">
        <v>412</v>
      </c>
      <c r="I1361" s="136">
        <v>1</v>
      </c>
      <c r="J1361" s="136">
        <v>0.06</v>
      </c>
      <c r="K1361" s="138">
        <f t="shared" si="120"/>
        <v>0.06</v>
      </c>
    </row>
    <row r="1362" spans="1:11">
      <c r="A1362" s="136" t="s">
        <v>1208</v>
      </c>
      <c r="B1362" s="137" t="s">
        <v>792</v>
      </c>
      <c r="C1362" s="137" t="s">
        <v>698</v>
      </c>
      <c r="D1362" s="137">
        <v>43465</v>
      </c>
      <c r="E1362" s="136" t="s">
        <v>1920</v>
      </c>
      <c r="F1362" s="1033" t="s">
        <v>1704</v>
      </c>
      <c r="G1362" s="1034"/>
      <c r="H1362" s="137" t="s">
        <v>412</v>
      </c>
      <c r="I1362" s="136">
        <v>1</v>
      </c>
      <c r="J1362" s="136">
        <v>0.74</v>
      </c>
      <c r="K1362" s="138">
        <f t="shared" si="120"/>
        <v>0.74</v>
      </c>
    </row>
    <row r="1363" spans="1:11">
      <c r="A1363" s="136" t="s">
        <v>1208</v>
      </c>
      <c r="B1363" s="137" t="s">
        <v>792</v>
      </c>
      <c r="C1363" s="137" t="s">
        <v>698</v>
      </c>
      <c r="D1363" s="137">
        <v>43489</v>
      </c>
      <c r="E1363" s="136" t="s">
        <v>1921</v>
      </c>
      <c r="F1363" s="1033" t="s">
        <v>1704</v>
      </c>
      <c r="G1363" s="1034"/>
      <c r="H1363" s="137" t="s">
        <v>412</v>
      </c>
      <c r="I1363" s="136">
        <v>1</v>
      </c>
      <c r="J1363" s="136">
        <v>1.0900000000000001</v>
      </c>
      <c r="K1363" s="138">
        <f t="shared" si="120"/>
        <v>1.0900000000000001</v>
      </c>
    </row>
    <row r="1364" spans="1:11">
      <c r="A1364" s="136" t="s">
        <v>1208</v>
      </c>
      <c r="B1364" s="137" t="s">
        <v>1705</v>
      </c>
      <c r="C1364" s="137" t="s">
        <v>698</v>
      </c>
      <c r="D1364" s="137">
        <v>95371</v>
      </c>
      <c r="E1364" s="136" t="s">
        <v>2005</v>
      </c>
      <c r="F1364" s="1033" t="s">
        <v>1706</v>
      </c>
      <c r="G1364" s="1034"/>
      <c r="H1364" s="137" t="s">
        <v>412</v>
      </c>
      <c r="I1364" s="136">
        <v>1</v>
      </c>
      <c r="J1364" s="136">
        <v>0.42</v>
      </c>
      <c r="K1364" s="138">
        <f t="shared" si="120"/>
        <v>0.42</v>
      </c>
    </row>
    <row r="1365" spans="1:11">
      <c r="A1365" s="139"/>
      <c r="E1365" s="139"/>
      <c r="F1365" s="139"/>
      <c r="I1365" s="139"/>
      <c r="J1365" s="139"/>
      <c r="K1365" s="140"/>
    </row>
    <row r="1366" spans="1:11">
      <c r="A1366" s="139"/>
      <c r="E1366" s="139"/>
      <c r="F1366" s="139"/>
      <c r="I1366" s="139"/>
      <c r="J1366" s="139"/>
      <c r="K1366" s="140"/>
    </row>
    <row r="1367" spans="1:11" ht="15.75">
      <c r="A1367" s="132" t="s">
        <v>2059</v>
      </c>
      <c r="B1367" s="133" t="s">
        <v>1700</v>
      </c>
      <c r="C1367" s="133" t="s">
        <v>698</v>
      </c>
      <c r="D1367" s="133">
        <v>88310</v>
      </c>
      <c r="E1367" s="134" t="s">
        <v>435</v>
      </c>
      <c r="F1367" s="134" t="s">
        <v>601</v>
      </c>
      <c r="G1367" s="133"/>
      <c r="H1367" s="133" t="s">
        <v>412</v>
      </c>
      <c r="I1367" s="134"/>
      <c r="J1367" s="146"/>
      <c r="K1367" s="135">
        <f>SUM(K1369:K1376)</f>
        <v>33.909999999999997</v>
      </c>
    </row>
    <row r="1368" spans="1:11" ht="50.1" customHeight="1">
      <c r="A1368" s="128"/>
      <c r="B1368" s="129" t="s">
        <v>1691</v>
      </c>
      <c r="C1368" s="129" t="s">
        <v>1692</v>
      </c>
      <c r="D1368" s="129" t="s">
        <v>1693</v>
      </c>
      <c r="E1368" s="130" t="s">
        <v>0</v>
      </c>
      <c r="F1368" s="130" t="s">
        <v>1694</v>
      </c>
      <c r="G1368" s="129"/>
      <c r="H1368" s="129" t="s">
        <v>1695</v>
      </c>
      <c r="I1368" s="130" t="s">
        <v>1696</v>
      </c>
      <c r="J1368" s="130" t="s">
        <v>1697</v>
      </c>
      <c r="K1368" s="131" t="s">
        <v>1698</v>
      </c>
    </row>
    <row r="1369" spans="1:11">
      <c r="A1369" s="136" t="s">
        <v>1208</v>
      </c>
      <c r="B1369" s="137" t="s">
        <v>792</v>
      </c>
      <c r="C1369" s="137" t="s">
        <v>698</v>
      </c>
      <c r="D1369" s="137">
        <v>4783</v>
      </c>
      <c r="E1369" s="136" t="s">
        <v>2009</v>
      </c>
      <c r="F1369" s="1033" t="s">
        <v>1702</v>
      </c>
      <c r="G1369" s="1034"/>
      <c r="H1369" s="137" t="s">
        <v>412</v>
      </c>
      <c r="I1369" s="136">
        <v>1</v>
      </c>
      <c r="J1369" s="136">
        <v>24.86</v>
      </c>
      <c r="K1369" s="138">
        <f>I1369*J1369</f>
        <v>24.86</v>
      </c>
    </row>
    <row r="1370" spans="1:11">
      <c r="A1370" s="136" t="s">
        <v>1208</v>
      </c>
      <c r="B1370" s="137" t="s">
        <v>792</v>
      </c>
      <c r="C1370" s="137" t="s">
        <v>698</v>
      </c>
      <c r="D1370" s="137">
        <v>37370</v>
      </c>
      <c r="E1370" s="136" t="s">
        <v>653</v>
      </c>
      <c r="F1370" s="1033" t="s">
        <v>1703</v>
      </c>
      <c r="G1370" s="1034"/>
      <c r="H1370" s="137" t="s">
        <v>412</v>
      </c>
      <c r="I1370" s="136">
        <v>1</v>
      </c>
      <c r="J1370" s="136">
        <v>3.91</v>
      </c>
      <c r="K1370" s="138">
        <f t="shared" ref="K1370:K1376" si="121">I1370*J1370</f>
        <v>3.91</v>
      </c>
    </row>
    <row r="1371" spans="1:11">
      <c r="A1371" s="136" t="s">
        <v>1208</v>
      </c>
      <c r="B1371" s="137" t="s">
        <v>792</v>
      </c>
      <c r="C1371" s="137" t="s">
        <v>698</v>
      </c>
      <c r="D1371" s="137">
        <v>37371</v>
      </c>
      <c r="E1371" s="136" t="s">
        <v>654</v>
      </c>
      <c r="F1371" s="1033" t="s">
        <v>1889</v>
      </c>
      <c r="G1371" s="1034"/>
      <c r="H1371" s="137" t="s">
        <v>412</v>
      </c>
      <c r="I1371" s="136">
        <v>1</v>
      </c>
      <c r="J1371" s="136">
        <v>1</v>
      </c>
      <c r="K1371" s="138">
        <f t="shared" si="121"/>
        <v>1</v>
      </c>
    </row>
    <row r="1372" spans="1:11">
      <c r="A1372" s="136" t="s">
        <v>1208</v>
      </c>
      <c r="B1372" s="137" t="s">
        <v>792</v>
      </c>
      <c r="C1372" s="137" t="s">
        <v>698</v>
      </c>
      <c r="D1372" s="137">
        <v>37372</v>
      </c>
      <c r="E1372" s="136" t="s">
        <v>655</v>
      </c>
      <c r="F1372" s="1033" t="s">
        <v>1703</v>
      </c>
      <c r="G1372" s="1034"/>
      <c r="H1372" s="137" t="s">
        <v>412</v>
      </c>
      <c r="I1372" s="136">
        <v>1</v>
      </c>
      <c r="J1372" s="136">
        <v>0.81</v>
      </c>
      <c r="K1372" s="138">
        <f t="shared" si="121"/>
        <v>0.81</v>
      </c>
    </row>
    <row r="1373" spans="1:11">
      <c r="A1373" s="136" t="s">
        <v>1208</v>
      </c>
      <c r="B1373" s="137" t="s">
        <v>792</v>
      </c>
      <c r="C1373" s="137" t="s">
        <v>698</v>
      </c>
      <c r="D1373" s="137">
        <v>37373</v>
      </c>
      <c r="E1373" s="136" t="s">
        <v>656</v>
      </c>
      <c r="F1373" s="1033" t="s">
        <v>1890</v>
      </c>
      <c r="G1373" s="1034"/>
      <c r="H1373" s="137" t="s">
        <v>412</v>
      </c>
      <c r="I1373" s="136">
        <v>1</v>
      </c>
      <c r="J1373" s="136">
        <v>0.06</v>
      </c>
      <c r="K1373" s="138">
        <f t="shared" si="121"/>
        <v>0.06</v>
      </c>
    </row>
    <row r="1374" spans="1:11">
      <c r="A1374" s="136" t="s">
        <v>1208</v>
      </c>
      <c r="B1374" s="137" t="s">
        <v>792</v>
      </c>
      <c r="C1374" s="137" t="s">
        <v>698</v>
      </c>
      <c r="D1374" s="137">
        <v>43466</v>
      </c>
      <c r="E1374" s="136" t="s">
        <v>2060</v>
      </c>
      <c r="F1374" s="1033" t="s">
        <v>1704</v>
      </c>
      <c r="G1374" s="1034"/>
      <c r="H1374" s="137" t="s">
        <v>412</v>
      </c>
      <c r="I1374" s="136">
        <v>1</v>
      </c>
      <c r="J1374" s="136">
        <v>1.48</v>
      </c>
      <c r="K1374" s="138">
        <f t="shared" si="121"/>
        <v>1.48</v>
      </c>
    </row>
    <row r="1375" spans="1:11">
      <c r="A1375" s="136" t="s">
        <v>1208</v>
      </c>
      <c r="B1375" s="137" t="s">
        <v>792</v>
      </c>
      <c r="C1375" s="137" t="s">
        <v>698</v>
      </c>
      <c r="D1375" s="137">
        <v>43490</v>
      </c>
      <c r="E1375" s="136" t="s">
        <v>2061</v>
      </c>
      <c r="F1375" s="1033" t="s">
        <v>1704</v>
      </c>
      <c r="G1375" s="1034"/>
      <c r="H1375" s="137" t="s">
        <v>412</v>
      </c>
      <c r="I1375" s="136">
        <v>1</v>
      </c>
      <c r="J1375" s="136">
        <v>1.5</v>
      </c>
      <c r="K1375" s="138">
        <f t="shared" si="121"/>
        <v>1.5</v>
      </c>
    </row>
    <row r="1376" spans="1:11">
      <c r="A1376" s="136" t="s">
        <v>1208</v>
      </c>
      <c r="B1376" s="137" t="s">
        <v>1705</v>
      </c>
      <c r="C1376" s="137" t="s">
        <v>698</v>
      </c>
      <c r="D1376" s="137">
        <v>95372</v>
      </c>
      <c r="E1376" s="136" t="s">
        <v>2008</v>
      </c>
      <c r="F1376" s="1033" t="s">
        <v>1706</v>
      </c>
      <c r="G1376" s="1034"/>
      <c r="H1376" s="137" t="s">
        <v>412</v>
      </c>
      <c r="I1376" s="136">
        <v>1</v>
      </c>
      <c r="J1376" s="136">
        <v>0.28999999999999998</v>
      </c>
      <c r="K1376" s="138">
        <f t="shared" si="121"/>
        <v>0.28999999999999998</v>
      </c>
    </row>
    <row r="1377" spans="1:11">
      <c r="A1377" s="139"/>
      <c r="E1377" s="139"/>
      <c r="F1377" s="139"/>
      <c r="I1377" s="139"/>
      <c r="J1377" s="139"/>
      <c r="K1377" s="140"/>
    </row>
    <row r="1378" spans="1:11">
      <c r="A1378" s="139"/>
      <c r="E1378" s="139"/>
      <c r="F1378" s="139"/>
      <c r="I1378" s="139"/>
      <c r="J1378" s="139"/>
      <c r="K1378" s="140"/>
    </row>
    <row r="1379" spans="1:11" ht="47.25">
      <c r="A1379" s="132" t="s">
        <v>2062</v>
      </c>
      <c r="B1379" s="133" t="s">
        <v>1700</v>
      </c>
      <c r="C1379" s="133" t="s">
        <v>698</v>
      </c>
      <c r="D1379" s="133">
        <v>90821</v>
      </c>
      <c r="E1379" s="134" t="s">
        <v>452</v>
      </c>
      <c r="F1379" s="134" t="s">
        <v>450</v>
      </c>
      <c r="G1379" s="133"/>
      <c r="H1379" s="133" t="s">
        <v>411</v>
      </c>
      <c r="I1379" s="134"/>
      <c r="J1379" s="146"/>
      <c r="K1379" s="135">
        <f>SUM(K1381:K1385)</f>
        <v>357.20134999999999</v>
      </c>
    </row>
    <row r="1380" spans="1:11" ht="50.1" customHeight="1">
      <c r="A1380" s="128"/>
      <c r="B1380" s="129" t="s">
        <v>1691</v>
      </c>
      <c r="C1380" s="129" t="s">
        <v>1692</v>
      </c>
      <c r="D1380" s="129" t="s">
        <v>1693</v>
      </c>
      <c r="E1380" s="130" t="s">
        <v>0</v>
      </c>
      <c r="F1380" s="130" t="s">
        <v>1694</v>
      </c>
      <c r="G1380" s="129"/>
      <c r="H1380" s="129" t="s">
        <v>1695</v>
      </c>
      <c r="I1380" s="130" t="s">
        <v>1696</v>
      </c>
      <c r="J1380" s="130" t="s">
        <v>1697</v>
      </c>
      <c r="K1380" s="131" t="s">
        <v>1698</v>
      </c>
    </row>
    <row r="1381" spans="1:11" ht="24.75">
      <c r="A1381" s="136" t="s">
        <v>1208</v>
      </c>
      <c r="B1381" s="137" t="s">
        <v>792</v>
      </c>
      <c r="C1381" s="137" t="s">
        <v>698</v>
      </c>
      <c r="D1381" s="137">
        <v>2432</v>
      </c>
      <c r="E1381" s="136" t="s">
        <v>2063</v>
      </c>
      <c r="F1381" s="1033" t="s">
        <v>1703</v>
      </c>
      <c r="G1381" s="1034"/>
      <c r="H1381" s="137" t="s">
        <v>411</v>
      </c>
      <c r="I1381" s="136">
        <v>3</v>
      </c>
      <c r="J1381" s="136">
        <v>28.02</v>
      </c>
      <c r="K1381" s="138">
        <f>I1381*J1381</f>
        <v>84.06</v>
      </c>
    </row>
    <row r="1382" spans="1:11" ht="24.75">
      <c r="A1382" s="136" t="s">
        <v>1208</v>
      </c>
      <c r="B1382" s="137" t="s">
        <v>792</v>
      </c>
      <c r="C1382" s="137" t="s">
        <v>698</v>
      </c>
      <c r="D1382" s="137">
        <v>10554</v>
      </c>
      <c r="E1382" s="136" t="s">
        <v>2064</v>
      </c>
      <c r="F1382" s="1033" t="s">
        <v>1703</v>
      </c>
      <c r="G1382" s="1034"/>
      <c r="H1382" s="137" t="s">
        <v>411</v>
      </c>
      <c r="I1382" s="136">
        <v>1</v>
      </c>
      <c r="J1382" s="136">
        <v>204.47</v>
      </c>
      <c r="K1382" s="138">
        <f t="shared" ref="K1382:K1385" si="122">I1382*J1382</f>
        <v>204.47</v>
      </c>
    </row>
    <row r="1383" spans="1:11">
      <c r="A1383" s="136" t="s">
        <v>1208</v>
      </c>
      <c r="B1383" s="137" t="s">
        <v>792</v>
      </c>
      <c r="C1383" s="137" t="s">
        <v>698</v>
      </c>
      <c r="D1383" s="137">
        <v>11055</v>
      </c>
      <c r="E1383" s="136" t="s">
        <v>2065</v>
      </c>
      <c r="F1383" s="1033" t="s">
        <v>1703</v>
      </c>
      <c r="G1383" s="1034"/>
      <c r="H1383" s="137" t="s">
        <v>411</v>
      </c>
      <c r="I1383" s="136">
        <v>19.8</v>
      </c>
      <c r="J1383" s="136">
        <v>0.11</v>
      </c>
      <c r="K1383" s="138">
        <f t="shared" si="122"/>
        <v>2.1779999999999999</v>
      </c>
    </row>
    <row r="1384" spans="1:11">
      <c r="A1384" s="136" t="s">
        <v>1208</v>
      </c>
      <c r="B1384" s="137" t="s">
        <v>1705</v>
      </c>
      <c r="C1384" s="137" t="s">
        <v>698</v>
      </c>
      <c r="D1384" s="137">
        <v>88261</v>
      </c>
      <c r="E1384" s="136" t="s">
        <v>451</v>
      </c>
      <c r="F1384" s="1033" t="s">
        <v>1706</v>
      </c>
      <c r="G1384" s="1034"/>
      <c r="H1384" s="137" t="s">
        <v>412</v>
      </c>
      <c r="I1384" s="136">
        <v>1.4139999999999999</v>
      </c>
      <c r="J1384" s="136">
        <v>34.28</v>
      </c>
      <c r="K1384" s="138">
        <f t="shared" si="122"/>
        <v>48.471919999999997</v>
      </c>
    </row>
    <row r="1385" spans="1:11">
      <c r="A1385" s="136" t="s">
        <v>1208</v>
      </c>
      <c r="B1385" s="137" t="s">
        <v>1705</v>
      </c>
      <c r="C1385" s="137" t="s">
        <v>698</v>
      </c>
      <c r="D1385" s="137">
        <v>88316</v>
      </c>
      <c r="E1385" s="136" t="s">
        <v>414</v>
      </c>
      <c r="F1385" s="1033" t="s">
        <v>1706</v>
      </c>
      <c r="G1385" s="1034"/>
      <c r="H1385" s="137" t="s">
        <v>412</v>
      </c>
      <c r="I1385" s="136">
        <v>0.70699999999999996</v>
      </c>
      <c r="J1385" s="136">
        <v>25.49</v>
      </c>
      <c r="K1385" s="138">
        <f t="shared" si="122"/>
        <v>18.021429999999999</v>
      </c>
    </row>
    <row r="1386" spans="1:11">
      <c r="A1386" s="139"/>
      <c r="E1386" s="139"/>
      <c r="F1386" s="139"/>
      <c r="I1386" s="139"/>
      <c r="J1386" s="139"/>
      <c r="K1386" s="140"/>
    </row>
    <row r="1387" spans="1:11">
      <c r="A1387" s="139"/>
      <c r="E1387" s="139"/>
      <c r="F1387" s="139"/>
      <c r="I1387" s="139"/>
      <c r="J1387" s="139"/>
      <c r="K1387" s="140"/>
    </row>
    <row r="1388" spans="1:11" ht="47.25">
      <c r="A1388" s="132" t="s">
        <v>2066</v>
      </c>
      <c r="B1388" s="133" t="s">
        <v>1700</v>
      </c>
      <c r="C1388" s="133" t="s">
        <v>698</v>
      </c>
      <c r="D1388" s="133">
        <v>90822</v>
      </c>
      <c r="E1388" s="134" t="s">
        <v>425</v>
      </c>
      <c r="F1388" s="134" t="s">
        <v>450</v>
      </c>
      <c r="G1388" s="133"/>
      <c r="H1388" s="133" t="s">
        <v>411</v>
      </c>
      <c r="I1388" s="134"/>
      <c r="J1388" s="146"/>
      <c r="K1388" s="135">
        <f>SUM(K1390:K1394)</f>
        <v>381.91865000000001</v>
      </c>
    </row>
    <row r="1389" spans="1:11" ht="50.1" customHeight="1">
      <c r="A1389" s="128"/>
      <c r="B1389" s="129" t="s">
        <v>1691</v>
      </c>
      <c r="C1389" s="129" t="s">
        <v>1692</v>
      </c>
      <c r="D1389" s="129" t="s">
        <v>1693</v>
      </c>
      <c r="E1389" s="130" t="s">
        <v>0</v>
      </c>
      <c r="F1389" s="130" t="s">
        <v>1694</v>
      </c>
      <c r="G1389" s="129"/>
      <c r="H1389" s="129" t="s">
        <v>1695</v>
      </c>
      <c r="I1389" s="130" t="s">
        <v>1696</v>
      </c>
      <c r="J1389" s="130" t="s">
        <v>1697</v>
      </c>
      <c r="K1389" s="131" t="s">
        <v>1698</v>
      </c>
    </row>
    <row r="1390" spans="1:11" ht="24.75">
      <c r="A1390" s="136" t="s">
        <v>1208</v>
      </c>
      <c r="B1390" s="137" t="s">
        <v>792</v>
      </c>
      <c r="C1390" s="137" t="s">
        <v>698</v>
      </c>
      <c r="D1390" s="137">
        <v>2432</v>
      </c>
      <c r="E1390" s="136" t="s">
        <v>2063</v>
      </c>
      <c r="F1390" s="1033" t="s">
        <v>1703</v>
      </c>
      <c r="G1390" s="1034"/>
      <c r="H1390" s="137" t="s">
        <v>411</v>
      </c>
      <c r="I1390" s="136">
        <v>3</v>
      </c>
      <c r="J1390" s="136">
        <v>28.02</v>
      </c>
      <c r="K1390" s="138">
        <f>I1390*J1390</f>
        <v>84.06</v>
      </c>
    </row>
    <row r="1391" spans="1:11" ht="24.75">
      <c r="A1391" s="136" t="s">
        <v>1208</v>
      </c>
      <c r="B1391" s="137" t="s">
        <v>792</v>
      </c>
      <c r="C1391" s="137" t="s">
        <v>698</v>
      </c>
      <c r="D1391" s="137">
        <v>10555</v>
      </c>
      <c r="E1391" s="136" t="s">
        <v>2067</v>
      </c>
      <c r="F1391" s="1033" t="s">
        <v>1703</v>
      </c>
      <c r="G1391" s="1034"/>
      <c r="H1391" s="137" t="s">
        <v>411</v>
      </c>
      <c r="I1391" s="136">
        <v>1</v>
      </c>
      <c r="J1391" s="136">
        <v>222.98</v>
      </c>
      <c r="K1391" s="138">
        <f t="shared" ref="K1391:K1394" si="123">I1391*J1391</f>
        <v>222.98</v>
      </c>
    </row>
    <row r="1392" spans="1:11">
      <c r="A1392" s="136" t="s">
        <v>1208</v>
      </c>
      <c r="B1392" s="137" t="s">
        <v>792</v>
      </c>
      <c r="C1392" s="137" t="s">
        <v>698</v>
      </c>
      <c r="D1392" s="137">
        <v>11055</v>
      </c>
      <c r="E1392" s="136" t="s">
        <v>2065</v>
      </c>
      <c r="F1392" s="1033" t="s">
        <v>1703</v>
      </c>
      <c r="G1392" s="1034"/>
      <c r="H1392" s="137" t="s">
        <v>411</v>
      </c>
      <c r="I1392" s="136">
        <v>19.8</v>
      </c>
      <c r="J1392" s="136">
        <v>0.11</v>
      </c>
      <c r="K1392" s="138">
        <f t="shared" si="123"/>
        <v>2.1779999999999999</v>
      </c>
    </row>
    <row r="1393" spans="1:11">
      <c r="A1393" s="136" t="s">
        <v>1208</v>
      </c>
      <c r="B1393" s="137" t="s">
        <v>1705</v>
      </c>
      <c r="C1393" s="137" t="s">
        <v>698</v>
      </c>
      <c r="D1393" s="137">
        <v>88261</v>
      </c>
      <c r="E1393" s="136" t="s">
        <v>451</v>
      </c>
      <c r="F1393" s="1033" t="s">
        <v>1706</v>
      </c>
      <c r="G1393" s="1034"/>
      <c r="H1393" s="137" t="s">
        <v>412</v>
      </c>
      <c r="I1393" s="136">
        <v>1.546</v>
      </c>
      <c r="J1393" s="136">
        <v>34.28</v>
      </c>
      <c r="K1393" s="138">
        <f t="shared" si="123"/>
        <v>52.996880000000004</v>
      </c>
    </row>
    <row r="1394" spans="1:11">
      <c r="A1394" s="136" t="s">
        <v>1208</v>
      </c>
      <c r="B1394" s="137" t="s">
        <v>1705</v>
      </c>
      <c r="C1394" s="137" t="s">
        <v>698</v>
      </c>
      <c r="D1394" s="137">
        <v>88316</v>
      </c>
      <c r="E1394" s="136" t="s">
        <v>414</v>
      </c>
      <c r="F1394" s="1033" t="s">
        <v>1706</v>
      </c>
      <c r="G1394" s="1034"/>
      <c r="H1394" s="137" t="s">
        <v>412</v>
      </c>
      <c r="I1394" s="136">
        <v>0.77300000000000002</v>
      </c>
      <c r="J1394" s="136">
        <v>25.49</v>
      </c>
      <c r="K1394" s="138">
        <f t="shared" si="123"/>
        <v>19.703769999999999</v>
      </c>
    </row>
    <row r="1395" spans="1:11">
      <c r="A1395" s="139"/>
      <c r="E1395" s="139"/>
      <c r="F1395" s="139"/>
      <c r="I1395" s="139"/>
      <c r="J1395" s="139"/>
      <c r="K1395" s="140"/>
    </row>
    <row r="1396" spans="1:11">
      <c r="A1396" s="139"/>
      <c r="E1396" s="139"/>
      <c r="F1396" s="139"/>
      <c r="I1396" s="139"/>
      <c r="J1396" s="139"/>
      <c r="K1396" s="140"/>
    </row>
    <row r="1397" spans="1:11" ht="47.25">
      <c r="A1397" s="132" t="s">
        <v>2068</v>
      </c>
      <c r="B1397" s="133" t="s">
        <v>1700</v>
      </c>
      <c r="C1397" s="133" t="s">
        <v>698</v>
      </c>
      <c r="D1397" s="133">
        <v>90823</v>
      </c>
      <c r="E1397" s="134" t="s">
        <v>453</v>
      </c>
      <c r="F1397" s="134" t="s">
        <v>450</v>
      </c>
      <c r="G1397" s="133"/>
      <c r="H1397" s="133" t="s">
        <v>411</v>
      </c>
      <c r="I1397" s="134"/>
      <c r="J1397" s="146"/>
      <c r="K1397" s="135">
        <f>SUM(K1399:K1403)</f>
        <v>461.62594999999999</v>
      </c>
    </row>
    <row r="1398" spans="1:11" ht="50.1" customHeight="1">
      <c r="A1398" s="128"/>
      <c r="B1398" s="129" t="s">
        <v>1691</v>
      </c>
      <c r="C1398" s="129" t="s">
        <v>1692</v>
      </c>
      <c r="D1398" s="129" t="s">
        <v>1693</v>
      </c>
      <c r="E1398" s="130" t="s">
        <v>0</v>
      </c>
      <c r="F1398" s="130" t="s">
        <v>1694</v>
      </c>
      <c r="G1398" s="129"/>
      <c r="H1398" s="129" t="s">
        <v>1695</v>
      </c>
      <c r="I1398" s="130" t="s">
        <v>1696</v>
      </c>
      <c r="J1398" s="130" t="s">
        <v>1697</v>
      </c>
      <c r="K1398" s="131" t="s">
        <v>1698</v>
      </c>
    </row>
    <row r="1399" spans="1:11" ht="24.75">
      <c r="A1399" s="136" t="s">
        <v>1208</v>
      </c>
      <c r="B1399" s="137" t="s">
        <v>792</v>
      </c>
      <c r="C1399" s="137" t="s">
        <v>698</v>
      </c>
      <c r="D1399" s="137">
        <v>2432</v>
      </c>
      <c r="E1399" s="136" t="s">
        <v>2063</v>
      </c>
      <c r="F1399" s="1033" t="s">
        <v>1703</v>
      </c>
      <c r="G1399" s="1034"/>
      <c r="H1399" s="137" t="s">
        <v>411</v>
      </c>
      <c r="I1399" s="136">
        <v>3</v>
      </c>
      <c r="J1399" s="136">
        <v>28.02</v>
      </c>
      <c r="K1399" s="138">
        <f>I1399*J1399</f>
        <v>84.06</v>
      </c>
    </row>
    <row r="1400" spans="1:11" ht="24.75">
      <c r="A1400" s="136" t="s">
        <v>1208</v>
      </c>
      <c r="B1400" s="137" t="s">
        <v>792</v>
      </c>
      <c r="C1400" s="137" t="s">
        <v>698</v>
      </c>
      <c r="D1400" s="137">
        <v>10556</v>
      </c>
      <c r="E1400" s="136" t="s">
        <v>2069</v>
      </c>
      <c r="F1400" s="1033" t="s">
        <v>1703</v>
      </c>
      <c r="G1400" s="1034"/>
      <c r="H1400" s="137" t="s">
        <v>411</v>
      </c>
      <c r="I1400" s="136">
        <v>1</v>
      </c>
      <c r="J1400" s="136">
        <v>296.48</v>
      </c>
      <c r="K1400" s="138">
        <f t="shared" ref="K1400:K1403" si="124">I1400*J1400</f>
        <v>296.48</v>
      </c>
    </row>
    <row r="1401" spans="1:11">
      <c r="A1401" s="136" t="s">
        <v>1208</v>
      </c>
      <c r="B1401" s="137" t="s">
        <v>792</v>
      </c>
      <c r="C1401" s="137" t="s">
        <v>698</v>
      </c>
      <c r="D1401" s="137">
        <v>11055</v>
      </c>
      <c r="E1401" s="136" t="s">
        <v>2065</v>
      </c>
      <c r="F1401" s="1033" t="s">
        <v>1703</v>
      </c>
      <c r="G1401" s="1034"/>
      <c r="H1401" s="137" t="s">
        <v>411</v>
      </c>
      <c r="I1401" s="136">
        <v>19.8</v>
      </c>
      <c r="J1401" s="136">
        <v>0.11</v>
      </c>
      <c r="K1401" s="138">
        <f t="shared" si="124"/>
        <v>2.1779999999999999</v>
      </c>
    </row>
    <row r="1402" spans="1:11">
      <c r="A1402" s="136" t="s">
        <v>1208</v>
      </c>
      <c r="B1402" s="137" t="s">
        <v>1705</v>
      </c>
      <c r="C1402" s="137" t="s">
        <v>698</v>
      </c>
      <c r="D1402" s="137">
        <v>88261</v>
      </c>
      <c r="E1402" s="136" t="s">
        <v>451</v>
      </c>
      <c r="F1402" s="1033" t="s">
        <v>1706</v>
      </c>
      <c r="G1402" s="1034"/>
      <c r="H1402" s="137" t="s">
        <v>412</v>
      </c>
      <c r="I1402" s="136">
        <v>1.6779999999999999</v>
      </c>
      <c r="J1402" s="136">
        <v>34.28</v>
      </c>
      <c r="K1402" s="138">
        <f t="shared" si="124"/>
        <v>57.521839999999997</v>
      </c>
    </row>
    <row r="1403" spans="1:11">
      <c r="A1403" s="136" t="s">
        <v>1208</v>
      </c>
      <c r="B1403" s="137" t="s">
        <v>1705</v>
      </c>
      <c r="C1403" s="137" t="s">
        <v>698</v>
      </c>
      <c r="D1403" s="137">
        <v>88316</v>
      </c>
      <c r="E1403" s="136" t="s">
        <v>414</v>
      </c>
      <c r="F1403" s="1033" t="s">
        <v>1706</v>
      </c>
      <c r="G1403" s="1034"/>
      <c r="H1403" s="137" t="s">
        <v>412</v>
      </c>
      <c r="I1403" s="136">
        <v>0.83899999999999997</v>
      </c>
      <c r="J1403" s="136">
        <v>25.49</v>
      </c>
      <c r="K1403" s="138">
        <f t="shared" si="124"/>
        <v>21.386109999999999</v>
      </c>
    </row>
    <row r="1404" spans="1:11">
      <c r="A1404" s="139"/>
      <c r="E1404" s="139"/>
      <c r="F1404" s="139"/>
      <c r="I1404" s="139"/>
      <c r="J1404" s="139"/>
      <c r="K1404" s="140"/>
    </row>
    <row r="1405" spans="1:11">
      <c r="A1405" s="139"/>
      <c r="E1405" s="139"/>
      <c r="F1405" s="139"/>
      <c r="I1405" s="139"/>
      <c r="J1405" s="139"/>
      <c r="K1405" s="140"/>
    </row>
    <row r="1406" spans="1:11" ht="47.25">
      <c r="A1406" s="132" t="s">
        <v>2070</v>
      </c>
      <c r="B1406" s="133" t="s">
        <v>1700</v>
      </c>
      <c r="C1406" s="133" t="s">
        <v>698</v>
      </c>
      <c r="D1406" s="133">
        <v>88430</v>
      </c>
      <c r="E1406" s="134" t="s">
        <v>1900</v>
      </c>
      <c r="F1406" s="134" t="s">
        <v>1933</v>
      </c>
      <c r="G1406" s="133"/>
      <c r="H1406" s="133" t="s">
        <v>408</v>
      </c>
      <c r="I1406" s="134"/>
      <c r="J1406" s="134"/>
      <c r="K1406" s="135">
        <f>SUM(K1408:K1409)</f>
        <v>6.01</v>
      </c>
    </row>
    <row r="1407" spans="1:11" ht="50.1" customHeight="1">
      <c r="A1407" s="128"/>
      <c r="B1407" s="129" t="s">
        <v>1691</v>
      </c>
      <c r="C1407" s="129" t="s">
        <v>1692</v>
      </c>
      <c r="D1407" s="129" t="s">
        <v>1693</v>
      </c>
      <c r="E1407" s="130" t="s">
        <v>0</v>
      </c>
      <c r="F1407" s="130" t="s">
        <v>1694</v>
      </c>
      <c r="G1407" s="129"/>
      <c r="H1407" s="129" t="s">
        <v>1695</v>
      </c>
      <c r="I1407" s="130" t="s">
        <v>1696</v>
      </c>
      <c r="J1407" s="130" t="s">
        <v>1697</v>
      </c>
      <c r="K1407" s="131" t="s">
        <v>1698</v>
      </c>
    </row>
    <row r="1408" spans="1:11" ht="24.75">
      <c r="A1408" s="136" t="s">
        <v>1208</v>
      </c>
      <c r="B1408" s="137" t="s">
        <v>1705</v>
      </c>
      <c r="C1408" s="137" t="s">
        <v>698</v>
      </c>
      <c r="D1408" s="137">
        <v>88419</v>
      </c>
      <c r="E1408" s="136" t="s">
        <v>2071</v>
      </c>
      <c r="F1408" s="1033" t="s">
        <v>1737</v>
      </c>
      <c r="G1408" s="1034"/>
      <c r="H1408" s="137" t="s">
        <v>412</v>
      </c>
      <c r="I1408" s="136">
        <v>1</v>
      </c>
      <c r="J1408" s="136">
        <v>5.38</v>
      </c>
      <c r="K1408" s="138">
        <f>I1408*J1408</f>
        <v>5.38</v>
      </c>
    </row>
    <row r="1409" spans="1:11" ht="24.75">
      <c r="A1409" s="136" t="s">
        <v>1208</v>
      </c>
      <c r="B1409" s="137" t="s">
        <v>1705</v>
      </c>
      <c r="C1409" s="137" t="s">
        <v>698</v>
      </c>
      <c r="D1409" s="137">
        <v>88422</v>
      </c>
      <c r="E1409" s="136" t="s">
        <v>2072</v>
      </c>
      <c r="F1409" s="1033" t="s">
        <v>1737</v>
      </c>
      <c r="G1409" s="1034"/>
      <c r="H1409" s="137" t="s">
        <v>412</v>
      </c>
      <c r="I1409" s="136">
        <v>1</v>
      </c>
      <c r="J1409" s="136">
        <v>0.63</v>
      </c>
      <c r="K1409" s="138">
        <f>I1409*J1409</f>
        <v>0.63</v>
      </c>
    </row>
    <row r="1410" spans="1:11">
      <c r="A1410" s="139"/>
      <c r="E1410" s="139"/>
      <c r="F1410" s="139"/>
      <c r="I1410" s="139"/>
      <c r="J1410" s="139"/>
      <c r="K1410" s="140"/>
    </row>
    <row r="1411" spans="1:11">
      <c r="A1411" s="139"/>
      <c r="E1411" s="139"/>
      <c r="F1411" s="139"/>
      <c r="I1411" s="139"/>
      <c r="J1411" s="139"/>
      <c r="K1411" s="140"/>
    </row>
    <row r="1412" spans="1:11" ht="47.25">
      <c r="A1412" s="132" t="s">
        <v>2073</v>
      </c>
      <c r="B1412" s="133" t="s">
        <v>1700</v>
      </c>
      <c r="C1412" s="133" t="s">
        <v>698</v>
      </c>
      <c r="D1412" s="133">
        <v>88418</v>
      </c>
      <c r="E1412" s="134" t="s">
        <v>1899</v>
      </c>
      <c r="F1412" s="134" t="s">
        <v>1933</v>
      </c>
      <c r="G1412" s="133"/>
      <c r="H1412" s="133" t="s">
        <v>407</v>
      </c>
      <c r="I1412" s="134"/>
      <c r="J1412" s="146"/>
      <c r="K1412" s="135">
        <f>SUM(K1414:K1417)</f>
        <v>13.850000000000001</v>
      </c>
    </row>
    <row r="1413" spans="1:11" ht="50.1" customHeight="1">
      <c r="A1413" s="128"/>
      <c r="B1413" s="129" t="s">
        <v>1691</v>
      </c>
      <c r="C1413" s="129" t="s">
        <v>1692</v>
      </c>
      <c r="D1413" s="129" t="s">
        <v>1693</v>
      </c>
      <c r="E1413" s="130" t="s">
        <v>0</v>
      </c>
      <c r="F1413" s="130" t="s">
        <v>1694</v>
      </c>
      <c r="G1413" s="129"/>
      <c r="H1413" s="129" t="s">
        <v>1695</v>
      </c>
      <c r="I1413" s="130" t="s">
        <v>1696</v>
      </c>
      <c r="J1413" s="130" t="s">
        <v>1697</v>
      </c>
      <c r="K1413" s="131" t="s">
        <v>1698</v>
      </c>
    </row>
    <row r="1414" spans="1:11" ht="24.75">
      <c r="A1414" s="136" t="s">
        <v>1208</v>
      </c>
      <c r="B1414" s="137" t="s">
        <v>1705</v>
      </c>
      <c r="C1414" s="137" t="s">
        <v>698</v>
      </c>
      <c r="D1414" s="137">
        <v>88419</v>
      </c>
      <c r="E1414" s="136" t="s">
        <v>2071</v>
      </c>
      <c r="F1414" s="1033" t="s">
        <v>1737</v>
      </c>
      <c r="G1414" s="1034"/>
      <c r="H1414" s="137" t="s">
        <v>412</v>
      </c>
      <c r="I1414" s="136">
        <v>1</v>
      </c>
      <c r="J1414" s="136">
        <v>5.38</v>
      </c>
      <c r="K1414" s="138">
        <f>I1414*J1414</f>
        <v>5.38</v>
      </c>
    </row>
    <row r="1415" spans="1:11" ht="24.75">
      <c r="A1415" s="136" t="s">
        <v>1208</v>
      </c>
      <c r="B1415" s="137" t="s">
        <v>1705</v>
      </c>
      <c r="C1415" s="137" t="s">
        <v>698</v>
      </c>
      <c r="D1415" s="137">
        <v>88422</v>
      </c>
      <c r="E1415" s="136" t="s">
        <v>2072</v>
      </c>
      <c r="F1415" s="1033" t="s">
        <v>1737</v>
      </c>
      <c r="G1415" s="1034"/>
      <c r="H1415" s="137" t="s">
        <v>412</v>
      </c>
      <c r="I1415" s="136">
        <v>1</v>
      </c>
      <c r="J1415" s="136">
        <v>0.63</v>
      </c>
      <c r="K1415" s="138">
        <f t="shared" ref="K1415:K1417" si="125">I1415*J1415</f>
        <v>0.63</v>
      </c>
    </row>
    <row r="1416" spans="1:11" ht="24.75">
      <c r="A1416" s="136" t="s">
        <v>1208</v>
      </c>
      <c r="B1416" s="137" t="s">
        <v>1705</v>
      </c>
      <c r="C1416" s="137" t="s">
        <v>698</v>
      </c>
      <c r="D1416" s="137">
        <v>88425</v>
      </c>
      <c r="E1416" s="136" t="s">
        <v>2074</v>
      </c>
      <c r="F1416" s="1033" t="s">
        <v>1737</v>
      </c>
      <c r="G1416" s="1034"/>
      <c r="H1416" s="137" t="s">
        <v>412</v>
      </c>
      <c r="I1416" s="136">
        <v>1</v>
      </c>
      <c r="J1416" s="136">
        <v>6.72</v>
      </c>
      <c r="K1416" s="138">
        <f t="shared" si="125"/>
        <v>6.72</v>
      </c>
    </row>
    <row r="1417" spans="1:11" ht="24.75">
      <c r="A1417" s="136" t="s">
        <v>1208</v>
      </c>
      <c r="B1417" s="137" t="s">
        <v>1705</v>
      </c>
      <c r="C1417" s="137" t="s">
        <v>698</v>
      </c>
      <c r="D1417" s="137">
        <v>88427</v>
      </c>
      <c r="E1417" s="136" t="s">
        <v>2075</v>
      </c>
      <c r="F1417" s="1033" t="s">
        <v>1737</v>
      </c>
      <c r="G1417" s="1034"/>
      <c r="H1417" s="137" t="s">
        <v>412</v>
      </c>
      <c r="I1417" s="136">
        <v>1</v>
      </c>
      <c r="J1417" s="136">
        <v>1.1200000000000001</v>
      </c>
      <c r="K1417" s="138">
        <f t="shared" si="125"/>
        <v>1.1200000000000001</v>
      </c>
    </row>
    <row r="1418" spans="1:11">
      <c r="A1418" s="139"/>
      <c r="E1418" s="139"/>
      <c r="F1418" s="139"/>
      <c r="I1418" s="139"/>
      <c r="J1418" s="139"/>
      <c r="K1418" s="140"/>
    </row>
    <row r="1419" spans="1:11">
      <c r="A1419" s="139"/>
      <c r="E1419" s="139"/>
      <c r="F1419" s="139"/>
      <c r="I1419" s="139"/>
      <c r="J1419" s="139"/>
      <c r="K1419" s="140"/>
    </row>
    <row r="1420" spans="1:11" ht="47.25">
      <c r="A1420" s="132" t="s">
        <v>2076</v>
      </c>
      <c r="B1420" s="133" t="s">
        <v>1700</v>
      </c>
      <c r="C1420" s="133" t="s">
        <v>698</v>
      </c>
      <c r="D1420" s="133">
        <v>88419</v>
      </c>
      <c r="E1420" s="134" t="s">
        <v>2071</v>
      </c>
      <c r="F1420" s="134" t="s">
        <v>1933</v>
      </c>
      <c r="G1420" s="133"/>
      <c r="H1420" s="133" t="s">
        <v>412</v>
      </c>
      <c r="I1420" s="134"/>
      <c r="J1420" s="146"/>
      <c r="K1420" s="135">
        <f>K1422</f>
        <v>5.3814924800000004</v>
      </c>
    </row>
    <row r="1421" spans="1:11" ht="50.1" customHeight="1">
      <c r="A1421" s="128"/>
      <c r="B1421" s="129" t="s">
        <v>1691</v>
      </c>
      <c r="C1421" s="129" t="s">
        <v>1692</v>
      </c>
      <c r="D1421" s="129" t="s">
        <v>1693</v>
      </c>
      <c r="E1421" s="130" t="s">
        <v>0</v>
      </c>
      <c r="F1421" s="130" t="s">
        <v>1694</v>
      </c>
      <c r="G1421" s="129"/>
      <c r="H1421" s="129" t="s">
        <v>1695</v>
      </c>
      <c r="I1421" s="130" t="s">
        <v>1696</v>
      </c>
      <c r="J1421" s="130" t="s">
        <v>1697</v>
      </c>
      <c r="K1421" s="131" t="s">
        <v>1698</v>
      </c>
    </row>
    <row r="1422" spans="1:11" ht="24.75">
      <c r="A1422" s="136" t="s">
        <v>1208</v>
      </c>
      <c r="B1422" s="137" t="s">
        <v>792</v>
      </c>
      <c r="C1422" s="137" t="s">
        <v>698</v>
      </c>
      <c r="D1422" s="137">
        <v>37540</v>
      </c>
      <c r="E1422" s="136" t="s">
        <v>2077</v>
      </c>
      <c r="F1422" s="1033" t="s">
        <v>1704</v>
      </c>
      <c r="G1422" s="1034"/>
      <c r="H1422" s="137" t="s">
        <v>411</v>
      </c>
      <c r="I1422" s="136">
        <v>6.3999999999999997E-5</v>
      </c>
      <c r="J1422" s="136">
        <v>84085.82</v>
      </c>
      <c r="K1422" s="138">
        <f>I1422*J1422</f>
        <v>5.3814924800000004</v>
      </c>
    </row>
    <row r="1423" spans="1:11">
      <c r="A1423" s="139"/>
      <c r="E1423" s="139"/>
      <c r="F1423" s="139"/>
      <c r="I1423" s="139"/>
      <c r="J1423" s="139"/>
      <c r="K1423" s="140"/>
    </row>
    <row r="1424" spans="1:11">
      <c r="A1424" s="139"/>
      <c r="E1424" s="139"/>
      <c r="F1424" s="139"/>
      <c r="I1424" s="139"/>
      <c r="J1424" s="139"/>
      <c r="K1424" s="140"/>
    </row>
    <row r="1425" spans="1:11" ht="47.25">
      <c r="A1425" s="132" t="s">
        <v>2078</v>
      </c>
      <c r="B1425" s="133" t="s">
        <v>1700</v>
      </c>
      <c r="C1425" s="133" t="s">
        <v>698</v>
      </c>
      <c r="D1425" s="133">
        <v>88422</v>
      </c>
      <c r="E1425" s="134" t="s">
        <v>2072</v>
      </c>
      <c r="F1425" s="134" t="s">
        <v>1933</v>
      </c>
      <c r="G1425" s="133"/>
      <c r="H1425" s="133" t="s">
        <v>412</v>
      </c>
      <c r="I1425" s="134"/>
      <c r="J1425" s="146"/>
      <c r="K1425" s="135">
        <f>K1427</f>
        <v>0.63905223200000005</v>
      </c>
    </row>
    <row r="1426" spans="1:11" ht="50.1" customHeight="1">
      <c r="A1426" s="128"/>
      <c r="B1426" s="129" t="s">
        <v>1691</v>
      </c>
      <c r="C1426" s="129" t="s">
        <v>1692</v>
      </c>
      <c r="D1426" s="129" t="s">
        <v>1693</v>
      </c>
      <c r="E1426" s="130" t="s">
        <v>0</v>
      </c>
      <c r="F1426" s="130" t="s">
        <v>1694</v>
      </c>
      <c r="G1426" s="129"/>
      <c r="H1426" s="129" t="s">
        <v>1695</v>
      </c>
      <c r="I1426" s="130" t="s">
        <v>1696</v>
      </c>
      <c r="J1426" s="130" t="s">
        <v>1697</v>
      </c>
      <c r="K1426" s="131" t="s">
        <v>1698</v>
      </c>
    </row>
    <row r="1427" spans="1:11" ht="24.75">
      <c r="A1427" s="136" t="s">
        <v>1208</v>
      </c>
      <c r="B1427" s="137" t="s">
        <v>792</v>
      </c>
      <c r="C1427" s="137" t="s">
        <v>698</v>
      </c>
      <c r="D1427" s="137">
        <v>37540</v>
      </c>
      <c r="E1427" s="136" t="s">
        <v>2077</v>
      </c>
      <c r="F1427" s="1033" t="s">
        <v>1704</v>
      </c>
      <c r="G1427" s="1034"/>
      <c r="H1427" s="137" t="s">
        <v>411</v>
      </c>
      <c r="I1427" s="136">
        <v>7.6000000000000001E-6</v>
      </c>
      <c r="J1427" s="136">
        <v>84085.82</v>
      </c>
      <c r="K1427" s="138">
        <f>I1427*J1427</f>
        <v>0.63905223200000005</v>
      </c>
    </row>
    <row r="1428" spans="1:11">
      <c r="A1428" s="139"/>
      <c r="E1428" s="139"/>
      <c r="F1428" s="139"/>
      <c r="I1428" s="139"/>
      <c r="J1428" s="139"/>
      <c r="K1428" s="140"/>
    </row>
    <row r="1429" spans="1:11">
      <c r="A1429" s="139"/>
      <c r="E1429" s="139"/>
      <c r="F1429" s="139"/>
      <c r="I1429" s="139"/>
      <c r="J1429" s="139"/>
      <c r="K1429" s="140"/>
    </row>
    <row r="1430" spans="1:11" ht="47.25">
      <c r="A1430" s="132" t="s">
        <v>2079</v>
      </c>
      <c r="B1430" s="133" t="s">
        <v>1700</v>
      </c>
      <c r="C1430" s="133" t="s">
        <v>698</v>
      </c>
      <c r="D1430" s="133">
        <v>88425</v>
      </c>
      <c r="E1430" s="134" t="s">
        <v>2074</v>
      </c>
      <c r="F1430" s="134" t="s">
        <v>1933</v>
      </c>
      <c r="G1430" s="133"/>
      <c r="H1430" s="133" t="s">
        <v>412</v>
      </c>
      <c r="I1430" s="134"/>
      <c r="J1430" s="146"/>
      <c r="K1430" s="135">
        <f>K1432</f>
        <v>6.7268656000000009</v>
      </c>
    </row>
    <row r="1431" spans="1:11" ht="50.1" customHeight="1">
      <c r="A1431" s="128"/>
      <c r="B1431" s="129" t="s">
        <v>1691</v>
      </c>
      <c r="C1431" s="129" t="s">
        <v>1692</v>
      </c>
      <c r="D1431" s="129" t="s">
        <v>1693</v>
      </c>
      <c r="E1431" s="130" t="s">
        <v>0</v>
      </c>
      <c r="F1431" s="130" t="s">
        <v>1694</v>
      </c>
      <c r="G1431" s="129"/>
      <c r="H1431" s="129" t="s">
        <v>1695</v>
      </c>
      <c r="I1431" s="130" t="s">
        <v>1696</v>
      </c>
      <c r="J1431" s="130" t="s">
        <v>1697</v>
      </c>
      <c r="K1431" s="131" t="s">
        <v>1698</v>
      </c>
    </row>
    <row r="1432" spans="1:11" ht="24.75">
      <c r="A1432" s="136" t="s">
        <v>1208</v>
      </c>
      <c r="B1432" s="137" t="s">
        <v>792</v>
      </c>
      <c r="C1432" s="137" t="s">
        <v>698</v>
      </c>
      <c r="D1432" s="137">
        <v>37540</v>
      </c>
      <c r="E1432" s="136" t="s">
        <v>2077</v>
      </c>
      <c r="F1432" s="1033" t="s">
        <v>1704</v>
      </c>
      <c r="G1432" s="1034"/>
      <c r="H1432" s="137" t="s">
        <v>411</v>
      </c>
      <c r="I1432" s="136">
        <v>8.0000000000000007E-5</v>
      </c>
      <c r="J1432" s="136">
        <v>84085.82</v>
      </c>
      <c r="K1432" s="138">
        <f>I1432*J1432</f>
        <v>6.7268656000000009</v>
      </c>
    </row>
    <row r="1433" spans="1:11">
      <c r="A1433" s="139"/>
      <c r="E1433" s="139"/>
      <c r="F1433" s="139"/>
      <c r="I1433" s="139"/>
      <c r="J1433" s="139"/>
      <c r="K1433" s="140"/>
    </row>
    <row r="1434" spans="1:11">
      <c r="A1434" s="139"/>
      <c r="E1434" s="139"/>
      <c r="F1434" s="139"/>
      <c r="I1434" s="139"/>
      <c r="J1434" s="139"/>
      <c r="K1434" s="140"/>
    </row>
    <row r="1435" spans="1:11" ht="47.25">
      <c r="A1435" s="132" t="s">
        <v>2080</v>
      </c>
      <c r="B1435" s="133" t="s">
        <v>1700</v>
      </c>
      <c r="C1435" s="133" t="s">
        <v>698</v>
      </c>
      <c r="D1435" s="133">
        <v>88427</v>
      </c>
      <c r="E1435" s="134" t="s">
        <v>2075</v>
      </c>
      <c r="F1435" s="134" t="s">
        <v>1933</v>
      </c>
      <c r="G1435" s="133"/>
      <c r="H1435" s="133" t="s">
        <v>412</v>
      </c>
      <c r="I1435" s="134"/>
      <c r="J1435" s="146"/>
      <c r="K1435" s="135">
        <f>SUM(K1437)</f>
        <v>1.1236000000000002</v>
      </c>
    </row>
    <row r="1436" spans="1:11" ht="50.1" customHeight="1">
      <c r="A1436" s="128"/>
      <c r="B1436" s="129" t="s">
        <v>1691</v>
      </c>
      <c r="C1436" s="129" t="s">
        <v>1692</v>
      </c>
      <c r="D1436" s="129" t="s">
        <v>1693</v>
      </c>
      <c r="E1436" s="130" t="s">
        <v>0</v>
      </c>
      <c r="F1436" s="130" t="s">
        <v>1694</v>
      </c>
      <c r="G1436" s="129"/>
      <c r="H1436" s="129" t="s">
        <v>1695</v>
      </c>
      <c r="I1436" s="130" t="s">
        <v>1696</v>
      </c>
      <c r="J1436" s="130" t="s">
        <v>1697</v>
      </c>
      <c r="K1436" s="131" t="s">
        <v>1698</v>
      </c>
    </row>
    <row r="1437" spans="1:11">
      <c r="A1437" s="136" t="s">
        <v>1208</v>
      </c>
      <c r="B1437" s="137" t="s">
        <v>792</v>
      </c>
      <c r="C1437" s="137" t="s">
        <v>698</v>
      </c>
      <c r="D1437" s="137">
        <v>2705</v>
      </c>
      <c r="E1437" s="136" t="s">
        <v>1944</v>
      </c>
      <c r="F1437" s="1033" t="s">
        <v>1703</v>
      </c>
      <c r="G1437" s="1034"/>
      <c r="H1437" s="137" t="s">
        <v>1945</v>
      </c>
      <c r="I1437" s="136">
        <v>1.06</v>
      </c>
      <c r="J1437" s="136">
        <v>1.06</v>
      </c>
      <c r="K1437" s="138">
        <f>I1437*J1437</f>
        <v>1.1236000000000002</v>
      </c>
    </row>
    <row r="1438" spans="1:11">
      <c r="A1438" s="139"/>
      <c r="E1438" s="139"/>
      <c r="F1438" s="139"/>
      <c r="I1438" s="139"/>
      <c r="J1438" s="139"/>
      <c r="K1438" s="140"/>
    </row>
    <row r="1439" spans="1:11">
      <c r="A1439" s="139"/>
      <c r="E1439" s="139"/>
      <c r="F1439" s="139"/>
      <c r="I1439" s="139"/>
      <c r="J1439" s="139"/>
      <c r="K1439" s="140"/>
    </row>
    <row r="1440" spans="1:11" ht="31.5">
      <c r="A1440" s="132" t="s">
        <v>2081</v>
      </c>
      <c r="B1440" s="133" t="s">
        <v>1700</v>
      </c>
      <c r="C1440" s="133" t="s">
        <v>698</v>
      </c>
      <c r="D1440" s="133">
        <v>89351</v>
      </c>
      <c r="E1440" s="134" t="s">
        <v>600</v>
      </c>
      <c r="F1440" s="134" t="s">
        <v>516</v>
      </c>
      <c r="G1440" s="133"/>
      <c r="H1440" s="133" t="s">
        <v>411</v>
      </c>
      <c r="I1440" s="134"/>
      <c r="J1440" s="146"/>
      <c r="K1440" s="135">
        <f>SUM(K1442:K1445)</f>
        <v>24.956434000000002</v>
      </c>
    </row>
    <row r="1441" spans="1:11" ht="50.1" customHeight="1">
      <c r="A1441" s="128"/>
      <c r="B1441" s="129" t="s">
        <v>1691</v>
      </c>
      <c r="C1441" s="129" t="s">
        <v>1692</v>
      </c>
      <c r="D1441" s="129" t="s">
        <v>1693</v>
      </c>
      <c r="E1441" s="130" t="s">
        <v>0</v>
      </c>
      <c r="F1441" s="130" t="s">
        <v>1694</v>
      </c>
      <c r="G1441" s="129"/>
      <c r="H1441" s="129" t="s">
        <v>1695</v>
      </c>
      <c r="I1441" s="130" t="s">
        <v>1696</v>
      </c>
      <c r="J1441" s="130" t="s">
        <v>1697</v>
      </c>
      <c r="K1441" s="131" t="s">
        <v>1698</v>
      </c>
    </row>
    <row r="1442" spans="1:11">
      <c r="A1442" s="136" t="s">
        <v>1208</v>
      </c>
      <c r="B1442" s="137" t="s">
        <v>792</v>
      </c>
      <c r="C1442" s="137" t="s">
        <v>698</v>
      </c>
      <c r="D1442" s="137">
        <v>3148</v>
      </c>
      <c r="E1442" s="136" t="s">
        <v>1799</v>
      </c>
      <c r="F1442" s="1033" t="s">
        <v>1703</v>
      </c>
      <c r="G1442" s="1034"/>
      <c r="H1442" s="137" t="s">
        <v>411</v>
      </c>
      <c r="I1442" s="136">
        <v>1.06E-2</v>
      </c>
      <c r="J1442" s="136">
        <v>11.8</v>
      </c>
      <c r="K1442" s="138">
        <f>I1442*J1442</f>
        <v>0.12508</v>
      </c>
    </row>
    <row r="1443" spans="1:11">
      <c r="A1443" s="136" t="s">
        <v>1208</v>
      </c>
      <c r="B1443" s="137" t="s">
        <v>792</v>
      </c>
      <c r="C1443" s="137" t="s">
        <v>698</v>
      </c>
      <c r="D1443" s="137">
        <v>11753</v>
      </c>
      <c r="E1443" s="136" t="s">
        <v>2082</v>
      </c>
      <c r="F1443" s="1033" t="s">
        <v>1703</v>
      </c>
      <c r="G1443" s="1034"/>
      <c r="H1443" s="137" t="s">
        <v>411</v>
      </c>
      <c r="I1443" s="136">
        <v>1</v>
      </c>
      <c r="J1443" s="136">
        <v>18.41</v>
      </c>
      <c r="K1443" s="138">
        <f t="shared" ref="K1443:K1445" si="126">I1443*J1443</f>
        <v>18.41</v>
      </c>
    </row>
    <row r="1444" spans="1:11">
      <c r="A1444" s="136" t="s">
        <v>1208</v>
      </c>
      <c r="B1444" s="137" t="s">
        <v>1705</v>
      </c>
      <c r="C1444" s="137" t="s">
        <v>698</v>
      </c>
      <c r="D1444" s="137">
        <v>88248</v>
      </c>
      <c r="E1444" s="136" t="s">
        <v>505</v>
      </c>
      <c r="F1444" s="1033" t="s">
        <v>1706</v>
      </c>
      <c r="G1444" s="1034"/>
      <c r="H1444" s="137" t="s">
        <v>412</v>
      </c>
      <c r="I1444" s="136">
        <v>0.11020000000000001</v>
      </c>
      <c r="J1444" s="136">
        <v>26.14</v>
      </c>
      <c r="K1444" s="138">
        <f t="shared" si="126"/>
        <v>2.8806280000000002</v>
      </c>
    </row>
    <row r="1445" spans="1:11">
      <c r="A1445" s="136" t="s">
        <v>1208</v>
      </c>
      <c r="B1445" s="137" t="s">
        <v>1705</v>
      </c>
      <c r="C1445" s="137" t="s">
        <v>698</v>
      </c>
      <c r="D1445" s="137">
        <v>88267</v>
      </c>
      <c r="E1445" s="136" t="s">
        <v>506</v>
      </c>
      <c r="F1445" s="1033" t="s">
        <v>1706</v>
      </c>
      <c r="G1445" s="1034"/>
      <c r="H1445" s="137" t="s">
        <v>412</v>
      </c>
      <c r="I1445" s="136">
        <v>0.11020000000000001</v>
      </c>
      <c r="J1445" s="136">
        <v>32.130000000000003</v>
      </c>
      <c r="K1445" s="138">
        <f t="shared" si="126"/>
        <v>3.5407260000000003</v>
      </c>
    </row>
    <row r="1446" spans="1:11">
      <c r="A1446" s="139"/>
      <c r="E1446" s="139"/>
      <c r="F1446" s="139"/>
      <c r="I1446" s="139"/>
      <c r="J1446" s="139"/>
      <c r="K1446" s="140"/>
    </row>
    <row r="1447" spans="1:11">
      <c r="A1447" s="139"/>
      <c r="E1447" s="139"/>
      <c r="F1447" s="139"/>
      <c r="I1447" s="139"/>
      <c r="J1447" s="139"/>
      <c r="K1447" s="140"/>
    </row>
    <row r="1448" spans="1:11" ht="15.75">
      <c r="A1448" s="132" t="s">
        <v>2083</v>
      </c>
      <c r="B1448" s="133" t="s">
        <v>1700</v>
      </c>
      <c r="C1448" s="133" t="s">
        <v>698</v>
      </c>
      <c r="D1448" s="133">
        <v>88316</v>
      </c>
      <c r="E1448" s="134" t="s">
        <v>414</v>
      </c>
      <c r="F1448" s="134" t="s">
        <v>601</v>
      </c>
      <c r="G1448" s="133"/>
      <c r="H1448" s="133" t="s">
        <v>412</v>
      </c>
      <c r="I1448" s="134"/>
      <c r="J1448" s="146"/>
      <c r="K1448" s="135">
        <f>SUM(K1450:K1457)</f>
        <v>25.489999999999995</v>
      </c>
    </row>
    <row r="1449" spans="1:11" ht="50.1" customHeight="1">
      <c r="A1449" s="128"/>
      <c r="B1449" s="129" t="s">
        <v>1691</v>
      </c>
      <c r="C1449" s="129" t="s">
        <v>1692</v>
      </c>
      <c r="D1449" s="129" t="s">
        <v>1693</v>
      </c>
      <c r="E1449" s="130" t="s">
        <v>0</v>
      </c>
      <c r="F1449" s="130" t="s">
        <v>1694</v>
      </c>
      <c r="G1449" s="129"/>
      <c r="H1449" s="129" t="s">
        <v>1695</v>
      </c>
      <c r="I1449" s="130" t="s">
        <v>1696</v>
      </c>
      <c r="J1449" s="130" t="s">
        <v>1697</v>
      </c>
      <c r="K1449" s="131" t="s">
        <v>1698</v>
      </c>
    </row>
    <row r="1450" spans="1:11">
      <c r="A1450" s="136" t="s">
        <v>1208</v>
      </c>
      <c r="B1450" s="137" t="s">
        <v>792</v>
      </c>
      <c r="C1450" s="137" t="s">
        <v>698</v>
      </c>
      <c r="D1450" s="137">
        <v>6111</v>
      </c>
      <c r="E1450" s="136" t="s">
        <v>664</v>
      </c>
      <c r="F1450" s="1033" t="s">
        <v>1702</v>
      </c>
      <c r="G1450" s="1034"/>
      <c r="H1450" s="137" t="s">
        <v>412</v>
      </c>
      <c r="I1450" s="136">
        <v>1</v>
      </c>
      <c r="J1450" s="136">
        <v>17.7</v>
      </c>
      <c r="K1450" s="138">
        <f>I1450*J1450</f>
        <v>17.7</v>
      </c>
    </row>
    <row r="1451" spans="1:11">
      <c r="A1451" s="136" t="s">
        <v>1208</v>
      </c>
      <c r="B1451" s="137" t="s">
        <v>792</v>
      </c>
      <c r="C1451" s="137" t="s">
        <v>698</v>
      </c>
      <c r="D1451" s="137">
        <v>37370</v>
      </c>
      <c r="E1451" s="136" t="s">
        <v>653</v>
      </c>
      <c r="F1451" s="1033" t="s">
        <v>1703</v>
      </c>
      <c r="G1451" s="1034"/>
      <c r="H1451" s="137" t="s">
        <v>412</v>
      </c>
      <c r="I1451" s="136">
        <v>1</v>
      </c>
      <c r="J1451" s="136">
        <v>3.91</v>
      </c>
      <c r="K1451" s="138">
        <f t="shared" ref="K1451:K1457" si="127">I1451*J1451</f>
        <v>3.91</v>
      </c>
    </row>
    <row r="1452" spans="1:11">
      <c r="A1452" s="136" t="s">
        <v>1208</v>
      </c>
      <c r="B1452" s="137" t="s">
        <v>792</v>
      </c>
      <c r="C1452" s="137" t="s">
        <v>698</v>
      </c>
      <c r="D1452" s="137">
        <v>37371</v>
      </c>
      <c r="E1452" s="136" t="s">
        <v>654</v>
      </c>
      <c r="F1452" s="1033" t="s">
        <v>1889</v>
      </c>
      <c r="G1452" s="1034"/>
      <c r="H1452" s="137" t="s">
        <v>412</v>
      </c>
      <c r="I1452" s="136">
        <v>1</v>
      </c>
      <c r="J1452" s="136">
        <v>1</v>
      </c>
      <c r="K1452" s="138">
        <f t="shared" si="127"/>
        <v>1</v>
      </c>
    </row>
    <row r="1453" spans="1:11">
      <c r="A1453" s="136" t="s">
        <v>1208</v>
      </c>
      <c r="B1453" s="137" t="s">
        <v>792</v>
      </c>
      <c r="C1453" s="137" t="s">
        <v>698</v>
      </c>
      <c r="D1453" s="137">
        <v>37372</v>
      </c>
      <c r="E1453" s="136" t="s">
        <v>655</v>
      </c>
      <c r="F1453" s="1033" t="s">
        <v>1703</v>
      </c>
      <c r="G1453" s="1034"/>
      <c r="H1453" s="137" t="s">
        <v>412</v>
      </c>
      <c r="I1453" s="136">
        <v>1</v>
      </c>
      <c r="J1453" s="136">
        <v>0.81</v>
      </c>
      <c r="K1453" s="138">
        <f t="shared" si="127"/>
        <v>0.81</v>
      </c>
    </row>
    <row r="1454" spans="1:11">
      <c r="A1454" s="136" t="s">
        <v>1208</v>
      </c>
      <c r="B1454" s="137" t="s">
        <v>792</v>
      </c>
      <c r="C1454" s="137" t="s">
        <v>698</v>
      </c>
      <c r="D1454" s="137">
        <v>37373</v>
      </c>
      <c r="E1454" s="136" t="s">
        <v>656</v>
      </c>
      <c r="F1454" s="1033" t="s">
        <v>1890</v>
      </c>
      <c r="G1454" s="1034"/>
      <c r="H1454" s="137" t="s">
        <v>412</v>
      </c>
      <c r="I1454" s="136">
        <v>1</v>
      </c>
      <c r="J1454" s="136">
        <v>0.06</v>
      </c>
      <c r="K1454" s="138">
        <f t="shared" si="127"/>
        <v>0.06</v>
      </c>
    </row>
    <row r="1455" spans="1:11">
      <c r="A1455" s="136" t="s">
        <v>1208</v>
      </c>
      <c r="B1455" s="137" t="s">
        <v>792</v>
      </c>
      <c r="C1455" s="137" t="s">
        <v>698</v>
      </c>
      <c r="D1455" s="137">
        <v>43467</v>
      </c>
      <c r="E1455" s="136" t="s">
        <v>657</v>
      </c>
      <c r="F1455" s="1033" t="s">
        <v>1704</v>
      </c>
      <c r="G1455" s="1034"/>
      <c r="H1455" s="137" t="s">
        <v>412</v>
      </c>
      <c r="I1455" s="136">
        <v>1</v>
      </c>
      <c r="J1455" s="136">
        <v>0.56000000000000005</v>
      </c>
      <c r="K1455" s="138">
        <f t="shared" si="127"/>
        <v>0.56000000000000005</v>
      </c>
    </row>
    <row r="1456" spans="1:11">
      <c r="A1456" s="136" t="s">
        <v>1208</v>
      </c>
      <c r="B1456" s="137" t="s">
        <v>792</v>
      </c>
      <c r="C1456" s="137" t="s">
        <v>698</v>
      </c>
      <c r="D1456" s="137">
        <v>43491</v>
      </c>
      <c r="E1456" s="136" t="s">
        <v>1891</v>
      </c>
      <c r="F1456" s="1033" t="s">
        <v>1704</v>
      </c>
      <c r="G1456" s="1034"/>
      <c r="H1456" s="137" t="s">
        <v>412</v>
      </c>
      <c r="I1456" s="136">
        <v>1</v>
      </c>
      <c r="J1456" s="136">
        <v>1.1499999999999999</v>
      </c>
      <c r="K1456" s="138">
        <f t="shared" si="127"/>
        <v>1.1499999999999999</v>
      </c>
    </row>
    <row r="1457" spans="1:11">
      <c r="A1457" s="136" t="s">
        <v>1208</v>
      </c>
      <c r="B1457" s="137" t="s">
        <v>1705</v>
      </c>
      <c r="C1457" s="137" t="s">
        <v>698</v>
      </c>
      <c r="D1457" s="137">
        <v>95378</v>
      </c>
      <c r="E1457" s="136" t="s">
        <v>665</v>
      </c>
      <c r="F1457" s="1033" t="s">
        <v>1706</v>
      </c>
      <c r="G1457" s="1034"/>
      <c r="H1457" s="137" t="s">
        <v>412</v>
      </c>
      <c r="I1457" s="136">
        <v>1</v>
      </c>
      <c r="J1457" s="136">
        <v>0.3</v>
      </c>
      <c r="K1457" s="138">
        <f t="shared" si="127"/>
        <v>0.3</v>
      </c>
    </row>
    <row r="1458" spans="1:11">
      <c r="A1458" s="139"/>
      <c r="E1458" s="139"/>
      <c r="F1458" s="139"/>
      <c r="I1458" s="139"/>
      <c r="J1458" s="139"/>
      <c r="K1458" s="140"/>
    </row>
    <row r="1459" spans="1:11">
      <c r="A1459" s="139"/>
      <c r="E1459" s="139"/>
      <c r="F1459" s="139"/>
      <c r="I1459" s="139"/>
      <c r="J1459" s="139"/>
      <c r="K1459" s="140"/>
    </row>
    <row r="1460" spans="1:11" ht="15.75">
      <c r="A1460" s="132" t="s">
        <v>2084</v>
      </c>
      <c r="B1460" s="133" t="s">
        <v>1700</v>
      </c>
      <c r="C1460" s="133" t="s">
        <v>698</v>
      </c>
      <c r="D1460" s="133">
        <v>88317</v>
      </c>
      <c r="E1460" s="134" t="s">
        <v>416</v>
      </c>
      <c r="F1460" s="134" t="s">
        <v>601</v>
      </c>
      <c r="G1460" s="133"/>
      <c r="H1460" s="133" t="s">
        <v>412</v>
      </c>
      <c r="I1460" s="134"/>
      <c r="J1460" s="146"/>
      <c r="K1460" s="135">
        <f>SUM(K1462:K1469)</f>
        <v>35.910000000000004</v>
      </c>
    </row>
    <row r="1461" spans="1:11" ht="50.1" customHeight="1">
      <c r="A1461" s="128"/>
      <c r="B1461" s="129" t="s">
        <v>1691</v>
      </c>
      <c r="C1461" s="129" t="s">
        <v>1692</v>
      </c>
      <c r="D1461" s="129" t="s">
        <v>1693</v>
      </c>
      <c r="E1461" s="130" t="s">
        <v>0</v>
      </c>
      <c r="F1461" s="130" t="s">
        <v>1694</v>
      </c>
      <c r="G1461" s="129"/>
      <c r="H1461" s="129" t="s">
        <v>1695</v>
      </c>
      <c r="I1461" s="130" t="s">
        <v>1696</v>
      </c>
      <c r="J1461" s="130" t="s">
        <v>1697</v>
      </c>
      <c r="K1461" s="131" t="s">
        <v>1698</v>
      </c>
    </row>
    <row r="1462" spans="1:11">
      <c r="A1462" s="136" t="s">
        <v>1208</v>
      </c>
      <c r="B1462" s="137" t="s">
        <v>792</v>
      </c>
      <c r="C1462" s="137" t="s">
        <v>698</v>
      </c>
      <c r="D1462" s="137">
        <v>6160</v>
      </c>
      <c r="E1462" s="136" t="s">
        <v>2014</v>
      </c>
      <c r="F1462" s="1033" t="s">
        <v>1702</v>
      </c>
      <c r="G1462" s="1034"/>
      <c r="H1462" s="137" t="s">
        <v>412</v>
      </c>
      <c r="I1462" s="136">
        <v>1</v>
      </c>
      <c r="J1462" s="136">
        <v>27.23</v>
      </c>
      <c r="K1462" s="138">
        <f>I1462*J1462</f>
        <v>27.23</v>
      </c>
    </row>
    <row r="1463" spans="1:11">
      <c r="A1463" s="136" t="s">
        <v>1208</v>
      </c>
      <c r="B1463" s="137" t="s">
        <v>792</v>
      </c>
      <c r="C1463" s="137" t="s">
        <v>698</v>
      </c>
      <c r="D1463" s="137">
        <v>37370</v>
      </c>
      <c r="E1463" s="136" t="s">
        <v>653</v>
      </c>
      <c r="F1463" s="1033" t="s">
        <v>1703</v>
      </c>
      <c r="G1463" s="1034"/>
      <c r="H1463" s="137" t="s">
        <v>412</v>
      </c>
      <c r="I1463" s="136">
        <v>1</v>
      </c>
      <c r="J1463" s="136">
        <v>3.91</v>
      </c>
      <c r="K1463" s="138">
        <f t="shared" ref="K1463:K1469" si="128">I1463*J1463</f>
        <v>3.91</v>
      </c>
    </row>
    <row r="1464" spans="1:11">
      <c r="A1464" s="136" t="s">
        <v>1208</v>
      </c>
      <c r="B1464" s="137" t="s">
        <v>792</v>
      </c>
      <c r="C1464" s="137" t="s">
        <v>698</v>
      </c>
      <c r="D1464" s="137">
        <v>37371</v>
      </c>
      <c r="E1464" s="136" t="s">
        <v>654</v>
      </c>
      <c r="F1464" s="1033" t="s">
        <v>1889</v>
      </c>
      <c r="G1464" s="1034"/>
      <c r="H1464" s="137" t="s">
        <v>412</v>
      </c>
      <c r="I1464" s="136">
        <v>1</v>
      </c>
      <c r="J1464" s="136">
        <v>1</v>
      </c>
      <c r="K1464" s="138">
        <f t="shared" si="128"/>
        <v>1</v>
      </c>
    </row>
    <row r="1465" spans="1:11">
      <c r="A1465" s="136" t="s">
        <v>1208</v>
      </c>
      <c r="B1465" s="137" t="s">
        <v>792</v>
      </c>
      <c r="C1465" s="137" t="s">
        <v>698</v>
      </c>
      <c r="D1465" s="137">
        <v>37372</v>
      </c>
      <c r="E1465" s="136" t="s">
        <v>655</v>
      </c>
      <c r="F1465" s="1033" t="s">
        <v>1703</v>
      </c>
      <c r="G1465" s="1034"/>
      <c r="H1465" s="137" t="s">
        <v>412</v>
      </c>
      <c r="I1465" s="136">
        <v>1</v>
      </c>
      <c r="J1465" s="136">
        <v>0.81</v>
      </c>
      <c r="K1465" s="138">
        <f t="shared" si="128"/>
        <v>0.81</v>
      </c>
    </row>
    <row r="1466" spans="1:11">
      <c r="A1466" s="136" t="s">
        <v>1208</v>
      </c>
      <c r="B1466" s="137" t="s">
        <v>792</v>
      </c>
      <c r="C1466" s="137" t="s">
        <v>698</v>
      </c>
      <c r="D1466" s="137">
        <v>37373</v>
      </c>
      <c r="E1466" s="136" t="s">
        <v>656</v>
      </c>
      <c r="F1466" s="1033" t="s">
        <v>1890</v>
      </c>
      <c r="G1466" s="1034"/>
      <c r="H1466" s="137" t="s">
        <v>412</v>
      </c>
      <c r="I1466" s="136">
        <v>1</v>
      </c>
      <c r="J1466" s="136">
        <v>0.06</v>
      </c>
      <c r="K1466" s="138">
        <f t="shared" si="128"/>
        <v>0.06</v>
      </c>
    </row>
    <row r="1467" spans="1:11">
      <c r="A1467" s="136" t="s">
        <v>1208</v>
      </c>
      <c r="B1467" s="137" t="s">
        <v>792</v>
      </c>
      <c r="C1467" s="137" t="s">
        <v>698</v>
      </c>
      <c r="D1467" s="137">
        <v>43468</v>
      </c>
      <c r="E1467" s="136" t="s">
        <v>2085</v>
      </c>
      <c r="F1467" s="1033" t="s">
        <v>1704</v>
      </c>
      <c r="G1467" s="1034"/>
      <c r="H1467" s="137" t="s">
        <v>412</v>
      </c>
      <c r="I1467" s="136">
        <v>1</v>
      </c>
      <c r="J1467" s="136">
        <v>1.07</v>
      </c>
      <c r="K1467" s="138">
        <f t="shared" si="128"/>
        <v>1.07</v>
      </c>
    </row>
    <row r="1468" spans="1:11">
      <c r="A1468" s="136" t="s">
        <v>1208</v>
      </c>
      <c r="B1468" s="137" t="s">
        <v>792</v>
      </c>
      <c r="C1468" s="137" t="s">
        <v>698</v>
      </c>
      <c r="D1468" s="137">
        <v>43492</v>
      </c>
      <c r="E1468" s="136" t="s">
        <v>2086</v>
      </c>
      <c r="F1468" s="1033" t="s">
        <v>1704</v>
      </c>
      <c r="G1468" s="1034"/>
      <c r="H1468" s="137" t="s">
        <v>412</v>
      </c>
      <c r="I1468" s="136">
        <v>1</v>
      </c>
      <c r="J1468" s="136">
        <v>1.58</v>
      </c>
      <c r="K1468" s="138">
        <f t="shared" si="128"/>
        <v>1.58</v>
      </c>
    </row>
    <row r="1469" spans="1:11">
      <c r="A1469" s="136" t="s">
        <v>1208</v>
      </c>
      <c r="B1469" s="137" t="s">
        <v>1705</v>
      </c>
      <c r="C1469" s="137" t="s">
        <v>698</v>
      </c>
      <c r="D1469" s="137">
        <v>95379</v>
      </c>
      <c r="E1469" s="136" t="s">
        <v>2013</v>
      </c>
      <c r="F1469" s="1033" t="s">
        <v>1706</v>
      </c>
      <c r="G1469" s="1034"/>
      <c r="H1469" s="137" t="s">
        <v>412</v>
      </c>
      <c r="I1469" s="136">
        <v>1</v>
      </c>
      <c r="J1469" s="136">
        <v>0.25</v>
      </c>
      <c r="K1469" s="138">
        <f t="shared" si="128"/>
        <v>0.25</v>
      </c>
    </row>
    <row r="1470" spans="1:11">
      <c r="A1470" s="139"/>
      <c r="E1470" s="139"/>
      <c r="F1470" s="139"/>
      <c r="I1470" s="139"/>
      <c r="J1470" s="139"/>
      <c r="K1470" s="140"/>
    </row>
    <row r="1471" spans="1:11">
      <c r="A1471" s="139"/>
      <c r="E1471" s="139"/>
      <c r="F1471" s="139"/>
      <c r="I1471" s="139"/>
      <c r="J1471" s="139"/>
      <c r="K1471" s="140"/>
    </row>
    <row r="1472" spans="1:11" ht="63">
      <c r="A1472" s="132" t="s">
        <v>2087</v>
      </c>
      <c r="B1472" s="133" t="s">
        <v>1700</v>
      </c>
      <c r="C1472" s="133" t="s">
        <v>698</v>
      </c>
      <c r="D1472" s="133">
        <v>98463</v>
      </c>
      <c r="E1472" s="134" t="s">
        <v>498</v>
      </c>
      <c r="F1472" s="134" t="s">
        <v>1852</v>
      </c>
      <c r="G1472" s="133"/>
      <c r="H1472" s="133" t="s">
        <v>411</v>
      </c>
      <c r="I1472" s="134"/>
      <c r="J1472" s="146"/>
      <c r="K1472" s="135">
        <f>SUM(K1474:K1477)</f>
        <v>27.778180000000003</v>
      </c>
    </row>
    <row r="1473" spans="1:11" ht="50.1" customHeight="1">
      <c r="A1473" s="128"/>
      <c r="B1473" s="129" t="s">
        <v>1691</v>
      </c>
      <c r="C1473" s="129" t="s">
        <v>1692</v>
      </c>
      <c r="D1473" s="129" t="s">
        <v>1693</v>
      </c>
      <c r="E1473" s="130" t="s">
        <v>0</v>
      </c>
      <c r="F1473" s="130" t="s">
        <v>1694</v>
      </c>
      <c r="G1473" s="129"/>
      <c r="H1473" s="129" t="s">
        <v>1695</v>
      </c>
      <c r="I1473" s="130" t="s">
        <v>1696</v>
      </c>
      <c r="J1473" s="130" t="s">
        <v>1697</v>
      </c>
      <c r="K1473" s="131" t="s">
        <v>1698</v>
      </c>
    </row>
    <row r="1474" spans="1:11" ht="24.75">
      <c r="A1474" s="136" t="s">
        <v>1208</v>
      </c>
      <c r="B1474" s="137" t="s">
        <v>792</v>
      </c>
      <c r="C1474" s="137" t="s">
        <v>698</v>
      </c>
      <c r="D1474" s="137">
        <v>4356</v>
      </c>
      <c r="E1474" s="136" t="s">
        <v>2088</v>
      </c>
      <c r="F1474" s="1033" t="s">
        <v>1703</v>
      </c>
      <c r="G1474" s="1034"/>
      <c r="H1474" s="137" t="s">
        <v>411</v>
      </c>
      <c r="I1474" s="136">
        <v>2</v>
      </c>
      <c r="J1474" s="136">
        <v>0.36</v>
      </c>
      <c r="K1474" s="138">
        <f>I1474*J1474</f>
        <v>0.72</v>
      </c>
    </row>
    <row r="1475" spans="1:11">
      <c r="A1475" s="136" t="s">
        <v>1208</v>
      </c>
      <c r="B1475" s="137" t="s">
        <v>792</v>
      </c>
      <c r="C1475" s="137" t="s">
        <v>698</v>
      </c>
      <c r="D1475" s="137">
        <v>7572</v>
      </c>
      <c r="E1475" s="136" t="s">
        <v>2089</v>
      </c>
      <c r="F1475" s="1033" t="s">
        <v>1703</v>
      </c>
      <c r="G1475" s="1034"/>
      <c r="H1475" s="137" t="s">
        <v>411</v>
      </c>
      <c r="I1475" s="136">
        <v>1</v>
      </c>
      <c r="J1475" s="136">
        <v>8.09</v>
      </c>
      <c r="K1475" s="138">
        <f t="shared" ref="K1475:K1477" si="129">I1475*J1475</f>
        <v>8.09</v>
      </c>
    </row>
    <row r="1476" spans="1:11">
      <c r="A1476" s="136" t="s">
        <v>1208</v>
      </c>
      <c r="B1476" s="137" t="s">
        <v>1705</v>
      </c>
      <c r="C1476" s="137" t="s">
        <v>698</v>
      </c>
      <c r="D1476" s="137">
        <v>88247</v>
      </c>
      <c r="E1476" s="136" t="s">
        <v>474</v>
      </c>
      <c r="F1476" s="1033" t="s">
        <v>1706</v>
      </c>
      <c r="G1476" s="1034"/>
      <c r="H1476" s="137" t="s">
        <v>412</v>
      </c>
      <c r="I1476" s="136">
        <v>0.31640000000000001</v>
      </c>
      <c r="J1476" s="136">
        <v>26.96</v>
      </c>
      <c r="K1476" s="138">
        <f t="shared" si="129"/>
        <v>8.5301439999999999</v>
      </c>
    </row>
    <row r="1477" spans="1:11">
      <c r="A1477" s="136" t="s">
        <v>1208</v>
      </c>
      <c r="B1477" s="137" t="s">
        <v>1705</v>
      </c>
      <c r="C1477" s="137" t="s">
        <v>698</v>
      </c>
      <c r="D1477" s="137">
        <v>88264</v>
      </c>
      <c r="E1477" s="136" t="s">
        <v>475</v>
      </c>
      <c r="F1477" s="1033" t="s">
        <v>1706</v>
      </c>
      <c r="G1477" s="1034"/>
      <c r="H1477" s="137" t="s">
        <v>412</v>
      </c>
      <c r="I1477" s="136">
        <v>0.31640000000000001</v>
      </c>
      <c r="J1477" s="136">
        <v>32.99</v>
      </c>
      <c r="K1477" s="138">
        <f t="shared" si="129"/>
        <v>10.438036</v>
      </c>
    </row>
    <row r="1478" spans="1:11">
      <c r="A1478" s="139"/>
      <c r="E1478" s="139"/>
      <c r="F1478" s="139"/>
      <c r="I1478" s="139"/>
      <c r="J1478" s="139"/>
      <c r="K1478" s="140"/>
    </row>
    <row r="1479" spans="1:11">
      <c r="A1479" s="139"/>
      <c r="E1479" s="139"/>
      <c r="F1479" s="139"/>
      <c r="I1479" s="139"/>
      <c r="J1479" s="139"/>
      <c r="K1479" s="140"/>
    </row>
    <row r="1480" spans="1:11" ht="63">
      <c r="A1480" s="132" t="s">
        <v>2090</v>
      </c>
      <c r="B1480" s="133" t="s">
        <v>1700</v>
      </c>
      <c r="C1480" s="133" t="s">
        <v>698</v>
      </c>
      <c r="D1480" s="133">
        <v>91946</v>
      </c>
      <c r="E1480" s="134" t="s">
        <v>480</v>
      </c>
      <c r="F1480" s="134" t="s">
        <v>1852</v>
      </c>
      <c r="G1480" s="133"/>
      <c r="H1480" s="133" t="s">
        <v>411</v>
      </c>
      <c r="I1480" s="134"/>
      <c r="J1480" s="146"/>
      <c r="K1480" s="135">
        <f>SUM(K1482:K1485)</f>
        <v>8.5407600000000006</v>
      </c>
    </row>
    <row r="1481" spans="1:11" ht="50.1" customHeight="1">
      <c r="A1481" s="128"/>
      <c r="B1481" s="129" t="s">
        <v>1691</v>
      </c>
      <c r="C1481" s="129" t="s">
        <v>1692</v>
      </c>
      <c r="D1481" s="129" t="s">
        <v>1693</v>
      </c>
      <c r="E1481" s="130" t="s">
        <v>0</v>
      </c>
      <c r="F1481" s="130" t="s">
        <v>1694</v>
      </c>
      <c r="G1481" s="129"/>
      <c r="H1481" s="129" t="s">
        <v>1695</v>
      </c>
      <c r="I1481" s="130" t="s">
        <v>1696</v>
      </c>
      <c r="J1481" s="130" t="s">
        <v>1697</v>
      </c>
      <c r="K1481" s="131" t="s">
        <v>1698</v>
      </c>
    </row>
    <row r="1482" spans="1:11">
      <c r="A1482" s="136" t="s">
        <v>1208</v>
      </c>
      <c r="B1482" s="137" t="s">
        <v>792</v>
      </c>
      <c r="C1482" s="137" t="s">
        <v>698</v>
      </c>
      <c r="D1482" s="137">
        <v>38094</v>
      </c>
      <c r="E1482" s="136" t="s">
        <v>2091</v>
      </c>
      <c r="F1482" s="1033" t="s">
        <v>1703</v>
      </c>
      <c r="G1482" s="1034"/>
      <c r="H1482" s="137" t="s">
        <v>411</v>
      </c>
      <c r="I1482" s="136">
        <v>1</v>
      </c>
      <c r="J1482" s="136">
        <v>2.93</v>
      </c>
      <c r="K1482" s="138">
        <f>I1482*J1482</f>
        <v>2.93</v>
      </c>
    </row>
    <row r="1483" spans="1:11" ht="24.75">
      <c r="A1483" s="136" t="s">
        <v>1208</v>
      </c>
      <c r="B1483" s="137" t="s">
        <v>792</v>
      </c>
      <c r="C1483" s="137" t="s">
        <v>698</v>
      </c>
      <c r="D1483" s="137">
        <v>38099</v>
      </c>
      <c r="E1483" s="136" t="s">
        <v>2092</v>
      </c>
      <c r="F1483" s="1033" t="s">
        <v>1703</v>
      </c>
      <c r="G1483" s="1034"/>
      <c r="H1483" s="137" t="s">
        <v>411</v>
      </c>
      <c r="I1483" s="136">
        <v>1</v>
      </c>
      <c r="J1483" s="136">
        <v>1.52</v>
      </c>
      <c r="K1483" s="138">
        <f t="shared" ref="K1483:K1484" si="130">I1483*J1483</f>
        <v>1.52</v>
      </c>
    </row>
    <row r="1484" spans="1:11">
      <c r="A1484" s="136" t="s">
        <v>1208</v>
      </c>
      <c r="B1484" s="137" t="s">
        <v>1705</v>
      </c>
      <c r="C1484" s="137" t="s">
        <v>698</v>
      </c>
      <c r="D1484" s="137">
        <v>88264</v>
      </c>
      <c r="E1484" s="136" t="s">
        <v>475</v>
      </c>
      <c r="F1484" s="1033" t="s">
        <v>1706</v>
      </c>
      <c r="G1484" s="1034"/>
      <c r="H1484" s="137" t="s">
        <v>412</v>
      </c>
      <c r="I1484" s="136">
        <v>0.124</v>
      </c>
      <c r="J1484" s="136">
        <v>32.99</v>
      </c>
      <c r="K1484" s="138">
        <f t="shared" si="130"/>
        <v>4.0907600000000004</v>
      </c>
    </row>
    <row r="1485" spans="1:11">
      <c r="A1485" s="139"/>
      <c r="E1485" s="139"/>
      <c r="F1485" s="139"/>
      <c r="I1485" s="139"/>
      <c r="J1485" s="139"/>
      <c r="K1485" s="140"/>
    </row>
    <row r="1486" spans="1:11">
      <c r="A1486" s="139"/>
      <c r="E1486" s="139"/>
      <c r="F1486" s="139"/>
      <c r="I1486" s="139"/>
      <c r="J1486" s="139"/>
      <c r="K1486" s="140"/>
    </row>
    <row r="1487" spans="1:11" ht="63">
      <c r="A1487" s="132" t="s">
        <v>2093</v>
      </c>
      <c r="B1487" s="133" t="s">
        <v>1700</v>
      </c>
      <c r="C1487" s="133" t="s">
        <v>698</v>
      </c>
      <c r="D1487" s="133">
        <v>91990</v>
      </c>
      <c r="E1487" s="134" t="s">
        <v>488</v>
      </c>
      <c r="F1487" s="134" t="s">
        <v>1852</v>
      </c>
      <c r="G1487" s="133"/>
      <c r="H1487" s="133" t="s">
        <v>411</v>
      </c>
      <c r="I1487" s="134"/>
      <c r="J1487" s="146"/>
      <c r="K1487" s="135">
        <f>SUM(K1489:K1491)</f>
        <v>37.605200000000004</v>
      </c>
    </row>
    <row r="1488" spans="1:11" ht="50.1" customHeight="1">
      <c r="A1488" s="128"/>
      <c r="B1488" s="129" t="s">
        <v>1691</v>
      </c>
      <c r="C1488" s="129" t="s">
        <v>1692</v>
      </c>
      <c r="D1488" s="129" t="s">
        <v>1693</v>
      </c>
      <c r="E1488" s="130" t="s">
        <v>0</v>
      </c>
      <c r="F1488" s="130" t="s">
        <v>1694</v>
      </c>
      <c r="G1488" s="129"/>
      <c r="H1488" s="129" t="s">
        <v>1695</v>
      </c>
      <c r="I1488" s="130" t="s">
        <v>1696</v>
      </c>
      <c r="J1488" s="130" t="s">
        <v>1697</v>
      </c>
      <c r="K1488" s="131" t="s">
        <v>1698</v>
      </c>
    </row>
    <row r="1489" spans="1:11">
      <c r="A1489" s="136" t="s">
        <v>1208</v>
      </c>
      <c r="B1489" s="137" t="s">
        <v>792</v>
      </c>
      <c r="C1489" s="137" t="s">
        <v>698</v>
      </c>
      <c r="D1489" s="137">
        <v>38101</v>
      </c>
      <c r="E1489" s="136" t="s">
        <v>2094</v>
      </c>
      <c r="F1489" s="1033" t="s">
        <v>1703</v>
      </c>
      <c r="G1489" s="1034"/>
      <c r="H1489" s="137" t="s">
        <v>411</v>
      </c>
      <c r="I1489" s="136">
        <v>1</v>
      </c>
      <c r="J1489" s="136">
        <v>7.87</v>
      </c>
      <c r="K1489" s="138">
        <f>J1489*I1489</f>
        <v>7.87</v>
      </c>
    </row>
    <row r="1490" spans="1:11">
      <c r="A1490" s="136" t="s">
        <v>1208</v>
      </c>
      <c r="B1490" s="137" t="s">
        <v>1705</v>
      </c>
      <c r="C1490" s="137" t="s">
        <v>698</v>
      </c>
      <c r="D1490" s="137">
        <v>88247</v>
      </c>
      <c r="E1490" s="136" t="s">
        <v>474</v>
      </c>
      <c r="F1490" s="1033" t="s">
        <v>1706</v>
      </c>
      <c r="G1490" s="1034"/>
      <c r="H1490" s="137" t="s">
        <v>412</v>
      </c>
      <c r="I1490" s="136">
        <v>0.496</v>
      </c>
      <c r="J1490" s="136">
        <v>26.96</v>
      </c>
      <c r="K1490" s="138">
        <f t="shared" ref="K1490:K1491" si="131">J1490*I1490</f>
        <v>13.372160000000001</v>
      </c>
    </row>
    <row r="1491" spans="1:11">
      <c r="A1491" s="136" t="s">
        <v>1208</v>
      </c>
      <c r="B1491" s="137" t="s">
        <v>1705</v>
      </c>
      <c r="C1491" s="137" t="s">
        <v>698</v>
      </c>
      <c r="D1491" s="137">
        <v>88264</v>
      </c>
      <c r="E1491" s="136" t="s">
        <v>475</v>
      </c>
      <c r="F1491" s="1033" t="s">
        <v>1706</v>
      </c>
      <c r="G1491" s="1034"/>
      <c r="H1491" s="137" t="s">
        <v>412</v>
      </c>
      <c r="I1491" s="136">
        <v>0.496</v>
      </c>
      <c r="J1491" s="136">
        <v>32.99</v>
      </c>
      <c r="K1491" s="138">
        <f t="shared" si="131"/>
        <v>16.363040000000002</v>
      </c>
    </row>
    <row r="1492" spans="1:11">
      <c r="A1492" s="139"/>
      <c r="E1492" s="139"/>
      <c r="F1492" s="139"/>
      <c r="I1492" s="139"/>
      <c r="J1492" s="139"/>
      <c r="K1492" s="140"/>
    </row>
    <row r="1493" spans="1:11">
      <c r="A1493" s="139"/>
      <c r="E1493" s="139"/>
      <c r="F1493" s="139"/>
      <c r="I1493" s="139"/>
      <c r="J1493" s="139"/>
      <c r="K1493" s="140"/>
    </row>
    <row r="1494" spans="1:11" ht="63">
      <c r="A1494" s="132" t="s">
        <v>2095</v>
      </c>
      <c r="B1494" s="133" t="s">
        <v>1700</v>
      </c>
      <c r="C1494" s="133" t="s">
        <v>698</v>
      </c>
      <c r="D1494" s="133">
        <v>91991</v>
      </c>
      <c r="E1494" s="134" t="s">
        <v>489</v>
      </c>
      <c r="F1494" s="134" t="s">
        <v>1852</v>
      </c>
      <c r="G1494" s="133"/>
      <c r="H1494" s="133" t="s">
        <v>411</v>
      </c>
      <c r="I1494" s="134"/>
      <c r="J1494" s="146"/>
      <c r="K1494" s="135">
        <f>SUM(K1496:K1498)</f>
        <v>39.805199999999999</v>
      </c>
    </row>
    <row r="1495" spans="1:11" ht="50.1" customHeight="1">
      <c r="A1495" s="128"/>
      <c r="B1495" s="129" t="s">
        <v>1691</v>
      </c>
      <c r="C1495" s="129" t="s">
        <v>1692</v>
      </c>
      <c r="D1495" s="129" t="s">
        <v>1693</v>
      </c>
      <c r="E1495" s="130" t="s">
        <v>0</v>
      </c>
      <c r="F1495" s="130" t="s">
        <v>1694</v>
      </c>
      <c r="G1495" s="129"/>
      <c r="H1495" s="129" t="s">
        <v>1695</v>
      </c>
      <c r="I1495" s="130" t="s">
        <v>1696</v>
      </c>
      <c r="J1495" s="130" t="s">
        <v>1697</v>
      </c>
      <c r="K1495" s="131" t="s">
        <v>1698</v>
      </c>
    </row>
    <row r="1496" spans="1:11">
      <c r="A1496" s="136" t="s">
        <v>1208</v>
      </c>
      <c r="B1496" s="137" t="s">
        <v>792</v>
      </c>
      <c r="C1496" s="137" t="s">
        <v>698</v>
      </c>
      <c r="D1496" s="137">
        <v>38102</v>
      </c>
      <c r="E1496" s="136" t="s">
        <v>2096</v>
      </c>
      <c r="F1496" s="1033" t="s">
        <v>1703</v>
      </c>
      <c r="G1496" s="1034"/>
      <c r="H1496" s="137" t="s">
        <v>411</v>
      </c>
      <c r="I1496" s="136">
        <v>1</v>
      </c>
      <c r="J1496" s="136">
        <v>10.07</v>
      </c>
      <c r="K1496" s="138">
        <f>I1496*J1496</f>
        <v>10.07</v>
      </c>
    </row>
    <row r="1497" spans="1:11">
      <c r="A1497" s="136" t="s">
        <v>1208</v>
      </c>
      <c r="B1497" s="137" t="s">
        <v>1705</v>
      </c>
      <c r="C1497" s="137" t="s">
        <v>698</v>
      </c>
      <c r="D1497" s="137">
        <v>88247</v>
      </c>
      <c r="E1497" s="136" t="s">
        <v>474</v>
      </c>
      <c r="F1497" s="1033" t="s">
        <v>1706</v>
      </c>
      <c r="G1497" s="1034"/>
      <c r="H1497" s="137" t="s">
        <v>412</v>
      </c>
      <c r="I1497" s="136">
        <v>0.496</v>
      </c>
      <c r="J1497" s="136">
        <v>26.96</v>
      </c>
      <c r="K1497" s="138">
        <f t="shared" ref="K1497:K1498" si="132">I1497*J1497</f>
        <v>13.372160000000001</v>
      </c>
    </row>
    <row r="1498" spans="1:11">
      <c r="A1498" s="136" t="s">
        <v>1208</v>
      </c>
      <c r="B1498" s="137" t="s">
        <v>1705</v>
      </c>
      <c r="C1498" s="137" t="s">
        <v>698</v>
      </c>
      <c r="D1498" s="137">
        <v>88264</v>
      </c>
      <c r="E1498" s="136" t="s">
        <v>475</v>
      </c>
      <c r="F1498" s="1033" t="s">
        <v>1706</v>
      </c>
      <c r="G1498" s="1034"/>
      <c r="H1498" s="137" t="s">
        <v>412</v>
      </c>
      <c r="I1498" s="136">
        <v>0.496</v>
      </c>
      <c r="J1498" s="136">
        <v>32.99</v>
      </c>
      <c r="K1498" s="138">
        <f t="shared" si="132"/>
        <v>16.363040000000002</v>
      </c>
    </row>
    <row r="1499" spans="1:11">
      <c r="A1499" s="139"/>
      <c r="E1499" s="139"/>
      <c r="F1499" s="139"/>
      <c r="I1499" s="139"/>
      <c r="J1499" s="139"/>
      <c r="K1499" s="140"/>
    </row>
    <row r="1500" spans="1:11">
      <c r="A1500" s="139"/>
      <c r="E1500" s="139"/>
      <c r="F1500" s="139"/>
      <c r="I1500" s="139"/>
      <c r="J1500" s="139"/>
      <c r="K1500" s="140"/>
    </row>
    <row r="1501" spans="1:11" ht="63">
      <c r="A1501" s="132" t="s">
        <v>2097</v>
      </c>
      <c r="B1501" s="133" t="s">
        <v>1700</v>
      </c>
      <c r="C1501" s="133" t="s">
        <v>698</v>
      </c>
      <c r="D1501" s="133">
        <v>92003</v>
      </c>
      <c r="E1501" s="134" t="s">
        <v>1864</v>
      </c>
      <c r="F1501" s="134" t="s">
        <v>1852</v>
      </c>
      <c r="G1501" s="133"/>
      <c r="H1501" s="133" t="s">
        <v>411</v>
      </c>
      <c r="I1501" s="134"/>
      <c r="J1501" s="146"/>
      <c r="K1501" s="135">
        <f>SUM(K1503:K1505)</f>
        <v>53.41225</v>
      </c>
    </row>
    <row r="1502" spans="1:11" ht="50.1" customHeight="1">
      <c r="A1502" s="128"/>
      <c r="B1502" s="129" t="s">
        <v>1691</v>
      </c>
      <c r="C1502" s="129" t="s">
        <v>1692</v>
      </c>
      <c r="D1502" s="129" t="s">
        <v>1693</v>
      </c>
      <c r="E1502" s="130" t="s">
        <v>0</v>
      </c>
      <c r="F1502" s="130" t="s">
        <v>1694</v>
      </c>
      <c r="G1502" s="129"/>
      <c r="H1502" s="129" t="s">
        <v>1695</v>
      </c>
      <c r="I1502" s="130" t="s">
        <v>1696</v>
      </c>
      <c r="J1502" s="130" t="s">
        <v>1697</v>
      </c>
      <c r="K1502" s="131" t="s">
        <v>1698</v>
      </c>
    </row>
    <row r="1503" spans="1:11">
      <c r="A1503" s="136" t="s">
        <v>1208</v>
      </c>
      <c r="B1503" s="137" t="s">
        <v>792</v>
      </c>
      <c r="C1503" s="137" t="s">
        <v>698</v>
      </c>
      <c r="D1503" s="137">
        <v>38102</v>
      </c>
      <c r="E1503" s="136" t="s">
        <v>2096</v>
      </c>
      <c r="F1503" s="1033" t="s">
        <v>1703</v>
      </c>
      <c r="G1503" s="1034"/>
      <c r="H1503" s="137" t="s">
        <v>411</v>
      </c>
      <c r="I1503" s="136">
        <v>2</v>
      </c>
      <c r="J1503" s="136">
        <v>10.07</v>
      </c>
      <c r="K1503" s="138">
        <f>I1503*J1503</f>
        <v>20.14</v>
      </c>
    </row>
    <row r="1504" spans="1:11">
      <c r="A1504" s="136" t="s">
        <v>1208</v>
      </c>
      <c r="B1504" s="137" t="s">
        <v>1705</v>
      </c>
      <c r="C1504" s="137" t="s">
        <v>698</v>
      </c>
      <c r="D1504" s="137">
        <v>88247</v>
      </c>
      <c r="E1504" s="136" t="s">
        <v>474</v>
      </c>
      <c r="F1504" s="1033" t="s">
        <v>1706</v>
      </c>
      <c r="G1504" s="1034"/>
      <c r="H1504" s="137" t="s">
        <v>412</v>
      </c>
      <c r="I1504" s="136">
        <v>0.55500000000000005</v>
      </c>
      <c r="J1504" s="136">
        <v>26.96</v>
      </c>
      <c r="K1504" s="138">
        <f t="shared" ref="K1504:K1505" si="133">I1504*J1504</f>
        <v>14.962800000000001</v>
      </c>
    </row>
    <row r="1505" spans="1:11">
      <c r="A1505" s="136" t="s">
        <v>1208</v>
      </c>
      <c r="B1505" s="137" t="s">
        <v>1705</v>
      </c>
      <c r="C1505" s="137" t="s">
        <v>698</v>
      </c>
      <c r="D1505" s="137">
        <v>88264</v>
      </c>
      <c r="E1505" s="136" t="s">
        <v>475</v>
      </c>
      <c r="F1505" s="1033" t="s">
        <v>1706</v>
      </c>
      <c r="G1505" s="1034"/>
      <c r="H1505" s="137" t="s">
        <v>412</v>
      </c>
      <c r="I1505" s="136">
        <v>0.55500000000000005</v>
      </c>
      <c r="J1505" s="136">
        <v>32.99</v>
      </c>
      <c r="K1505" s="138">
        <f t="shared" si="133"/>
        <v>18.309450000000002</v>
      </c>
    </row>
    <row r="1506" spans="1:11">
      <c r="A1506" s="139"/>
      <c r="E1506" s="139"/>
      <c r="F1506" s="139"/>
      <c r="I1506" s="139"/>
      <c r="J1506" s="139"/>
      <c r="K1506" s="140"/>
    </row>
    <row r="1507" spans="1:11">
      <c r="A1507" s="139"/>
      <c r="E1507" s="139"/>
      <c r="F1507" s="139"/>
      <c r="I1507" s="139"/>
      <c r="J1507" s="139"/>
      <c r="K1507" s="140"/>
    </row>
    <row r="1508" spans="1:11" ht="31.5">
      <c r="A1508" s="132" t="s">
        <v>2098</v>
      </c>
      <c r="B1508" s="133" t="s">
        <v>1700</v>
      </c>
      <c r="C1508" s="133" t="s">
        <v>698</v>
      </c>
      <c r="D1508" s="133">
        <v>86888</v>
      </c>
      <c r="E1508" s="134" t="s">
        <v>423</v>
      </c>
      <c r="F1508" s="134" t="s">
        <v>516</v>
      </c>
      <c r="G1508" s="133"/>
      <c r="H1508" s="133" t="s">
        <v>411</v>
      </c>
      <c r="I1508" s="134"/>
      <c r="J1508" s="146"/>
      <c r="K1508" s="135">
        <f>SUM(K1510:K1515)</f>
        <v>564.62487199999987</v>
      </c>
    </row>
    <row r="1509" spans="1:11" ht="50.1" customHeight="1">
      <c r="A1509" s="128"/>
      <c r="B1509" s="129" t="s">
        <v>1691</v>
      </c>
      <c r="C1509" s="129" t="s">
        <v>1692</v>
      </c>
      <c r="D1509" s="129" t="s">
        <v>1693</v>
      </c>
      <c r="E1509" s="130" t="s">
        <v>0</v>
      </c>
      <c r="F1509" s="130" t="s">
        <v>1694</v>
      </c>
      <c r="G1509" s="129"/>
      <c r="H1509" s="129" t="s">
        <v>1695</v>
      </c>
      <c r="I1509" s="130" t="s">
        <v>1696</v>
      </c>
      <c r="J1509" s="130" t="s">
        <v>1697</v>
      </c>
      <c r="K1509" s="131" t="s">
        <v>1698</v>
      </c>
    </row>
    <row r="1510" spans="1:11" ht="24.75">
      <c r="A1510" s="136" t="s">
        <v>1208</v>
      </c>
      <c r="B1510" s="137" t="s">
        <v>792</v>
      </c>
      <c r="C1510" s="137" t="s">
        <v>698</v>
      </c>
      <c r="D1510" s="137">
        <v>4384</v>
      </c>
      <c r="E1510" s="136" t="s">
        <v>2099</v>
      </c>
      <c r="F1510" s="1033" t="s">
        <v>1703</v>
      </c>
      <c r="G1510" s="1034"/>
      <c r="H1510" s="137" t="s">
        <v>411</v>
      </c>
      <c r="I1510" s="136">
        <v>2</v>
      </c>
      <c r="J1510" s="136">
        <v>31.17</v>
      </c>
      <c r="K1510" s="138">
        <f>I1510*J1510</f>
        <v>62.34</v>
      </c>
    </row>
    <row r="1511" spans="1:11">
      <c r="A1511" s="136" t="s">
        <v>1208</v>
      </c>
      <c r="B1511" s="137" t="s">
        <v>792</v>
      </c>
      <c r="C1511" s="137" t="s">
        <v>698</v>
      </c>
      <c r="D1511" s="137">
        <v>6138</v>
      </c>
      <c r="E1511" s="136" t="s">
        <v>2100</v>
      </c>
      <c r="F1511" s="1033" t="s">
        <v>1703</v>
      </c>
      <c r="G1511" s="1034"/>
      <c r="H1511" s="137" t="s">
        <v>411</v>
      </c>
      <c r="I1511" s="136">
        <v>1</v>
      </c>
      <c r="J1511" s="136">
        <v>14.72</v>
      </c>
      <c r="K1511" s="138">
        <f t="shared" ref="K1511:K1515" si="134">I1511*J1511</f>
        <v>14.72</v>
      </c>
    </row>
    <row r="1512" spans="1:11">
      <c r="A1512" s="136" t="s">
        <v>1208</v>
      </c>
      <c r="B1512" s="137" t="s">
        <v>792</v>
      </c>
      <c r="C1512" s="137" t="s">
        <v>698</v>
      </c>
      <c r="D1512" s="137">
        <v>10422</v>
      </c>
      <c r="E1512" s="136" t="s">
        <v>2101</v>
      </c>
      <c r="F1512" s="1033" t="s">
        <v>1703</v>
      </c>
      <c r="G1512" s="1034"/>
      <c r="H1512" s="137" t="s">
        <v>411</v>
      </c>
      <c r="I1512" s="136">
        <v>1</v>
      </c>
      <c r="J1512" s="136">
        <v>443.84</v>
      </c>
      <c r="K1512" s="138">
        <f t="shared" si="134"/>
        <v>443.84</v>
      </c>
    </row>
    <row r="1513" spans="1:11">
      <c r="A1513" s="136" t="s">
        <v>1208</v>
      </c>
      <c r="B1513" s="137" t="s">
        <v>792</v>
      </c>
      <c r="C1513" s="137" t="s">
        <v>698</v>
      </c>
      <c r="D1513" s="137">
        <v>37329</v>
      </c>
      <c r="E1513" s="136" t="s">
        <v>576</v>
      </c>
      <c r="F1513" s="1033" t="s">
        <v>1703</v>
      </c>
      <c r="G1513" s="1034"/>
      <c r="H1513" s="137" t="s">
        <v>415</v>
      </c>
      <c r="I1513" s="136">
        <v>8.8099999999999998E-2</v>
      </c>
      <c r="J1513" s="136">
        <v>85.33</v>
      </c>
      <c r="K1513" s="138">
        <f t="shared" si="134"/>
        <v>7.5175729999999996</v>
      </c>
    </row>
    <row r="1514" spans="1:11">
      <c r="A1514" s="136" t="s">
        <v>1208</v>
      </c>
      <c r="B1514" s="137" t="s">
        <v>1705</v>
      </c>
      <c r="C1514" s="137" t="s">
        <v>698</v>
      </c>
      <c r="D1514" s="137">
        <v>88267</v>
      </c>
      <c r="E1514" s="136" t="s">
        <v>506</v>
      </c>
      <c r="F1514" s="1033" t="s">
        <v>1706</v>
      </c>
      <c r="G1514" s="1034"/>
      <c r="H1514" s="137" t="s">
        <v>412</v>
      </c>
      <c r="I1514" s="136">
        <v>0.77910000000000001</v>
      </c>
      <c r="J1514" s="136">
        <v>32.130000000000003</v>
      </c>
      <c r="K1514" s="138">
        <f t="shared" si="134"/>
        <v>25.032483000000003</v>
      </c>
    </row>
    <row r="1515" spans="1:11">
      <c r="A1515" s="136" t="s">
        <v>1208</v>
      </c>
      <c r="B1515" s="137" t="s">
        <v>1705</v>
      </c>
      <c r="C1515" s="137" t="s">
        <v>698</v>
      </c>
      <c r="D1515" s="137">
        <v>88316</v>
      </c>
      <c r="E1515" s="136" t="s">
        <v>414</v>
      </c>
      <c r="F1515" s="1033" t="s">
        <v>1706</v>
      </c>
      <c r="G1515" s="1034"/>
      <c r="H1515" s="137" t="s">
        <v>412</v>
      </c>
      <c r="I1515" s="136">
        <v>0.43840000000000001</v>
      </c>
      <c r="J1515" s="136">
        <v>25.49</v>
      </c>
      <c r="K1515" s="138">
        <f t="shared" si="134"/>
        <v>11.174816</v>
      </c>
    </row>
    <row r="1516" spans="1:11">
      <c r="A1516" s="139"/>
      <c r="E1516" s="139"/>
      <c r="F1516" s="139"/>
      <c r="I1516" s="139"/>
      <c r="J1516" s="139"/>
      <c r="K1516" s="140"/>
    </row>
    <row r="1517" spans="1:11">
      <c r="A1517" s="139"/>
      <c r="E1517" s="139"/>
      <c r="F1517" s="139"/>
      <c r="I1517" s="139"/>
      <c r="J1517" s="139"/>
      <c r="K1517" s="140"/>
    </row>
    <row r="1518" spans="1:11" ht="47.25">
      <c r="A1518" s="132" t="s">
        <v>2102</v>
      </c>
      <c r="B1518" s="133" t="s">
        <v>1700</v>
      </c>
      <c r="C1518" s="133" t="s">
        <v>698</v>
      </c>
      <c r="D1518" s="133">
        <v>95471</v>
      </c>
      <c r="E1518" s="134" t="s">
        <v>588</v>
      </c>
      <c r="F1518" s="134" t="s">
        <v>516</v>
      </c>
      <c r="G1518" s="133"/>
      <c r="H1518" s="133" t="s">
        <v>411</v>
      </c>
      <c r="I1518" s="134"/>
      <c r="J1518" s="146"/>
      <c r="K1518" s="135">
        <f>SUM(K1520:K1525)</f>
        <v>882.86077799999998</v>
      </c>
    </row>
    <row r="1519" spans="1:11" ht="50.1" customHeight="1">
      <c r="A1519" s="128"/>
      <c r="B1519" s="129" t="s">
        <v>1691</v>
      </c>
      <c r="C1519" s="129" t="s">
        <v>1692</v>
      </c>
      <c r="D1519" s="129" t="s">
        <v>1693</v>
      </c>
      <c r="E1519" s="130" t="s">
        <v>0</v>
      </c>
      <c r="F1519" s="130" t="s">
        <v>1694</v>
      </c>
      <c r="G1519" s="129"/>
      <c r="H1519" s="129" t="s">
        <v>1695</v>
      </c>
      <c r="I1519" s="130" t="s">
        <v>1696</v>
      </c>
      <c r="J1519" s="130" t="s">
        <v>1697</v>
      </c>
      <c r="K1519" s="131" t="s">
        <v>1698</v>
      </c>
    </row>
    <row r="1520" spans="1:11" ht="24.75">
      <c r="A1520" s="136" t="s">
        <v>1208</v>
      </c>
      <c r="B1520" s="137" t="s">
        <v>792</v>
      </c>
      <c r="C1520" s="137" t="s">
        <v>698</v>
      </c>
      <c r="D1520" s="137">
        <v>4384</v>
      </c>
      <c r="E1520" s="136" t="s">
        <v>2099</v>
      </c>
      <c r="F1520" s="1033" t="s">
        <v>1703</v>
      </c>
      <c r="G1520" s="1034"/>
      <c r="H1520" s="137" t="s">
        <v>411</v>
      </c>
      <c r="I1520" s="136">
        <v>2</v>
      </c>
      <c r="J1520" s="136">
        <v>31.17</v>
      </c>
      <c r="K1520" s="138">
        <f>I1520*J1520</f>
        <v>62.34</v>
      </c>
    </row>
    <row r="1521" spans="1:11">
      <c r="A1521" s="136" t="s">
        <v>1208</v>
      </c>
      <c r="B1521" s="137" t="s">
        <v>792</v>
      </c>
      <c r="C1521" s="137" t="s">
        <v>698</v>
      </c>
      <c r="D1521" s="137">
        <v>6138</v>
      </c>
      <c r="E1521" s="136" t="s">
        <v>2100</v>
      </c>
      <c r="F1521" s="1033" t="s">
        <v>1703</v>
      </c>
      <c r="G1521" s="1034"/>
      <c r="H1521" s="137" t="s">
        <v>411</v>
      </c>
      <c r="I1521" s="136">
        <v>1</v>
      </c>
      <c r="J1521" s="136">
        <v>14.72</v>
      </c>
      <c r="K1521" s="138">
        <f t="shared" ref="K1521:K1525" si="135">I1521*J1521</f>
        <v>14.72</v>
      </c>
    </row>
    <row r="1522" spans="1:11" ht="24.75">
      <c r="A1522" s="136" t="s">
        <v>1208</v>
      </c>
      <c r="B1522" s="137" t="s">
        <v>792</v>
      </c>
      <c r="C1522" s="137" t="s">
        <v>698</v>
      </c>
      <c r="D1522" s="137">
        <v>36520</v>
      </c>
      <c r="E1522" s="136" t="s">
        <v>2103</v>
      </c>
      <c r="F1522" s="1033" t="s">
        <v>1703</v>
      </c>
      <c r="G1522" s="1034"/>
      <c r="H1522" s="137" t="s">
        <v>411</v>
      </c>
      <c r="I1522" s="136">
        <v>1</v>
      </c>
      <c r="J1522" s="136">
        <v>747.02</v>
      </c>
      <c r="K1522" s="138">
        <f t="shared" si="135"/>
        <v>747.02</v>
      </c>
    </row>
    <row r="1523" spans="1:11">
      <c r="A1523" s="136" t="s">
        <v>1208</v>
      </c>
      <c r="B1523" s="137" t="s">
        <v>792</v>
      </c>
      <c r="C1523" s="137" t="s">
        <v>698</v>
      </c>
      <c r="D1523" s="137">
        <v>37329</v>
      </c>
      <c r="E1523" s="136" t="s">
        <v>576</v>
      </c>
      <c r="F1523" s="1033" t="s">
        <v>1703</v>
      </c>
      <c r="G1523" s="1034"/>
      <c r="H1523" s="137" t="s">
        <v>415</v>
      </c>
      <c r="I1523" s="136">
        <v>8.8099999999999998E-2</v>
      </c>
      <c r="J1523" s="136">
        <v>85.33</v>
      </c>
      <c r="K1523" s="138">
        <f t="shared" si="135"/>
        <v>7.5175729999999996</v>
      </c>
    </row>
    <row r="1524" spans="1:11">
      <c r="A1524" s="136" t="s">
        <v>1208</v>
      </c>
      <c r="B1524" s="137" t="s">
        <v>1705</v>
      </c>
      <c r="C1524" s="137" t="s">
        <v>698</v>
      </c>
      <c r="D1524" s="137">
        <v>88267</v>
      </c>
      <c r="E1524" s="136" t="s">
        <v>506</v>
      </c>
      <c r="F1524" s="1033" t="s">
        <v>1706</v>
      </c>
      <c r="G1524" s="1034"/>
      <c r="H1524" s="137" t="s">
        <v>412</v>
      </c>
      <c r="I1524" s="136">
        <v>1.1539999999999999</v>
      </c>
      <c r="J1524" s="136">
        <v>32.130000000000003</v>
      </c>
      <c r="K1524" s="138">
        <f t="shared" si="135"/>
        <v>37.078020000000002</v>
      </c>
    </row>
    <row r="1525" spans="1:11">
      <c r="A1525" s="136" t="s">
        <v>1208</v>
      </c>
      <c r="B1525" s="137" t="s">
        <v>1705</v>
      </c>
      <c r="C1525" s="137" t="s">
        <v>698</v>
      </c>
      <c r="D1525" s="137">
        <v>88316</v>
      </c>
      <c r="E1525" s="136" t="s">
        <v>414</v>
      </c>
      <c r="F1525" s="1033" t="s">
        <v>1706</v>
      </c>
      <c r="G1525" s="1034"/>
      <c r="H1525" s="137" t="s">
        <v>412</v>
      </c>
      <c r="I1525" s="136">
        <v>0.55649999999999999</v>
      </c>
      <c r="J1525" s="136">
        <v>25.49</v>
      </c>
      <c r="K1525" s="138">
        <f t="shared" si="135"/>
        <v>14.185184999999999</v>
      </c>
    </row>
    <row r="1526" spans="1:11">
      <c r="A1526" s="139"/>
      <c r="E1526" s="139"/>
      <c r="F1526" s="139"/>
      <c r="I1526" s="139"/>
      <c r="J1526" s="139"/>
      <c r="K1526" s="140"/>
    </row>
    <row r="1527" spans="1:11">
      <c r="A1527" s="139"/>
      <c r="E1527" s="139"/>
      <c r="F1527" s="139"/>
      <c r="I1527" s="139"/>
      <c r="J1527" s="139"/>
      <c r="K1527" s="140"/>
    </row>
    <row r="1528" spans="1:11" ht="15.75">
      <c r="A1528" s="132" t="s">
        <v>2104</v>
      </c>
      <c r="B1528" s="133" t="s">
        <v>1700</v>
      </c>
      <c r="C1528" s="133" t="s">
        <v>698</v>
      </c>
      <c r="D1528" s="133">
        <v>88325</v>
      </c>
      <c r="E1528" s="134" t="s">
        <v>1720</v>
      </c>
      <c r="F1528" s="134" t="s">
        <v>601</v>
      </c>
      <c r="G1528" s="133"/>
      <c r="H1528" s="133" t="s">
        <v>412</v>
      </c>
      <c r="I1528" s="134"/>
      <c r="J1528" s="146"/>
      <c r="K1528" s="135">
        <f>SUM(K1530:K1537)</f>
        <v>29.149999999999995</v>
      </c>
    </row>
    <row r="1529" spans="1:11" ht="50.1" customHeight="1">
      <c r="A1529" s="128"/>
      <c r="B1529" s="129" t="s">
        <v>1691</v>
      </c>
      <c r="C1529" s="129" t="s">
        <v>1692</v>
      </c>
      <c r="D1529" s="129" t="s">
        <v>1693</v>
      </c>
      <c r="E1529" s="130" t="s">
        <v>0</v>
      </c>
      <c r="F1529" s="130" t="s">
        <v>1694</v>
      </c>
      <c r="G1529" s="129"/>
      <c r="H1529" s="129" t="s">
        <v>1695</v>
      </c>
      <c r="I1529" s="130" t="s">
        <v>1696</v>
      </c>
      <c r="J1529" s="130" t="s">
        <v>1697</v>
      </c>
      <c r="K1529" s="131" t="s">
        <v>1698</v>
      </c>
    </row>
    <row r="1530" spans="1:11">
      <c r="A1530" s="136" t="s">
        <v>1208</v>
      </c>
      <c r="B1530" s="137" t="s">
        <v>792</v>
      </c>
      <c r="C1530" s="137" t="s">
        <v>698</v>
      </c>
      <c r="D1530" s="137">
        <v>10489</v>
      </c>
      <c r="E1530" s="136" t="s">
        <v>2018</v>
      </c>
      <c r="F1530" s="1033" t="s">
        <v>1702</v>
      </c>
      <c r="G1530" s="1034"/>
      <c r="H1530" s="137" t="s">
        <v>412</v>
      </c>
      <c r="I1530" s="136">
        <v>1</v>
      </c>
      <c r="J1530" s="136">
        <v>21.29</v>
      </c>
      <c r="K1530" s="138">
        <f>I1530*J1530</f>
        <v>21.29</v>
      </c>
    </row>
    <row r="1531" spans="1:11">
      <c r="A1531" s="136" t="s">
        <v>1208</v>
      </c>
      <c r="B1531" s="137" t="s">
        <v>792</v>
      </c>
      <c r="C1531" s="137" t="s">
        <v>698</v>
      </c>
      <c r="D1531" s="137">
        <v>37370</v>
      </c>
      <c r="E1531" s="136" t="s">
        <v>653</v>
      </c>
      <c r="F1531" s="1033" t="s">
        <v>1703</v>
      </c>
      <c r="G1531" s="1034"/>
      <c r="H1531" s="137" t="s">
        <v>412</v>
      </c>
      <c r="I1531" s="136">
        <v>1</v>
      </c>
      <c r="J1531" s="136">
        <v>3.91</v>
      </c>
      <c r="K1531" s="138">
        <f t="shared" ref="K1531:K1537" si="136">I1531*J1531</f>
        <v>3.91</v>
      </c>
    </row>
    <row r="1532" spans="1:11">
      <c r="A1532" s="136" t="s">
        <v>1208</v>
      </c>
      <c r="B1532" s="137" t="s">
        <v>792</v>
      </c>
      <c r="C1532" s="137" t="s">
        <v>698</v>
      </c>
      <c r="D1532" s="137">
        <v>37371</v>
      </c>
      <c r="E1532" s="136" t="s">
        <v>654</v>
      </c>
      <c r="F1532" s="1033" t="s">
        <v>1889</v>
      </c>
      <c r="G1532" s="1034"/>
      <c r="H1532" s="137" t="s">
        <v>412</v>
      </c>
      <c r="I1532" s="136">
        <v>1</v>
      </c>
      <c r="J1532" s="136">
        <v>1</v>
      </c>
      <c r="K1532" s="138">
        <f t="shared" si="136"/>
        <v>1</v>
      </c>
    </row>
    <row r="1533" spans="1:11">
      <c r="A1533" s="136" t="s">
        <v>1208</v>
      </c>
      <c r="B1533" s="137" t="s">
        <v>792</v>
      </c>
      <c r="C1533" s="137" t="s">
        <v>698</v>
      </c>
      <c r="D1533" s="137">
        <v>37372</v>
      </c>
      <c r="E1533" s="136" t="s">
        <v>655</v>
      </c>
      <c r="F1533" s="1033" t="s">
        <v>1703</v>
      </c>
      <c r="G1533" s="1034"/>
      <c r="H1533" s="137" t="s">
        <v>412</v>
      </c>
      <c r="I1533" s="136">
        <v>1</v>
      </c>
      <c r="J1533" s="136">
        <v>0.81</v>
      </c>
      <c r="K1533" s="138">
        <f t="shared" si="136"/>
        <v>0.81</v>
      </c>
    </row>
    <row r="1534" spans="1:11">
      <c r="A1534" s="136" t="s">
        <v>1208</v>
      </c>
      <c r="B1534" s="137" t="s">
        <v>792</v>
      </c>
      <c r="C1534" s="137" t="s">
        <v>698</v>
      </c>
      <c r="D1534" s="137">
        <v>37373</v>
      </c>
      <c r="E1534" s="136" t="s">
        <v>656</v>
      </c>
      <c r="F1534" s="1033" t="s">
        <v>1890</v>
      </c>
      <c r="G1534" s="1034"/>
      <c r="H1534" s="137" t="s">
        <v>412</v>
      </c>
      <c r="I1534" s="136">
        <v>1</v>
      </c>
      <c r="J1534" s="136">
        <v>0.06</v>
      </c>
      <c r="K1534" s="138">
        <f t="shared" si="136"/>
        <v>0.06</v>
      </c>
    </row>
    <row r="1535" spans="1:11">
      <c r="A1535" s="136" t="s">
        <v>1208</v>
      </c>
      <c r="B1535" s="137" t="s">
        <v>792</v>
      </c>
      <c r="C1535" s="137" t="s">
        <v>698</v>
      </c>
      <c r="D1535" s="137">
        <v>43465</v>
      </c>
      <c r="E1535" s="136" t="s">
        <v>1920</v>
      </c>
      <c r="F1535" s="1033" t="s">
        <v>1704</v>
      </c>
      <c r="G1535" s="1034"/>
      <c r="H1535" s="137" t="s">
        <v>412</v>
      </c>
      <c r="I1535" s="136">
        <v>1</v>
      </c>
      <c r="J1535" s="136">
        <v>0.74</v>
      </c>
      <c r="K1535" s="138">
        <f t="shared" si="136"/>
        <v>0.74</v>
      </c>
    </row>
    <row r="1536" spans="1:11">
      <c r="A1536" s="136" t="s">
        <v>1208</v>
      </c>
      <c r="B1536" s="137" t="s">
        <v>792</v>
      </c>
      <c r="C1536" s="137" t="s">
        <v>698</v>
      </c>
      <c r="D1536" s="137">
        <v>43489</v>
      </c>
      <c r="E1536" s="136" t="s">
        <v>1921</v>
      </c>
      <c r="F1536" s="1033" t="s">
        <v>1704</v>
      </c>
      <c r="G1536" s="1034"/>
      <c r="H1536" s="137" t="s">
        <v>412</v>
      </c>
      <c r="I1536" s="136">
        <v>1</v>
      </c>
      <c r="J1536" s="136">
        <v>1.0900000000000001</v>
      </c>
      <c r="K1536" s="138">
        <f t="shared" si="136"/>
        <v>1.0900000000000001</v>
      </c>
    </row>
    <row r="1537" spans="1:11">
      <c r="A1537" s="136" t="s">
        <v>1208</v>
      </c>
      <c r="B1537" s="137" t="s">
        <v>1705</v>
      </c>
      <c r="C1537" s="137" t="s">
        <v>698</v>
      </c>
      <c r="D1537" s="137">
        <v>95387</v>
      </c>
      <c r="E1537" s="136" t="s">
        <v>2017</v>
      </c>
      <c r="F1537" s="1033" t="s">
        <v>1706</v>
      </c>
      <c r="G1537" s="1034"/>
      <c r="H1537" s="137" t="s">
        <v>412</v>
      </c>
      <c r="I1537" s="136">
        <v>1</v>
      </c>
      <c r="J1537" s="136">
        <v>0.25</v>
      </c>
      <c r="K1537" s="138">
        <f t="shared" si="136"/>
        <v>0.25</v>
      </c>
    </row>
    <row r="1538" spans="1:11">
      <c r="A1538" s="139"/>
      <c r="E1538" s="139"/>
      <c r="F1538" s="139"/>
      <c r="I1538" s="139"/>
      <c r="J1538" s="139"/>
      <c r="K1538" s="140"/>
    </row>
    <row r="1539" spans="1:11">
      <c r="A1539" s="139"/>
      <c r="E1539" s="139"/>
      <c r="F1539" s="139"/>
    </row>
    <row r="1540" spans="1:11" ht="31.5">
      <c r="A1540" s="139"/>
      <c r="C1540" s="133" t="s">
        <v>698</v>
      </c>
      <c r="D1540" s="133">
        <v>102229</v>
      </c>
      <c r="E1540" s="134" t="s">
        <v>2113</v>
      </c>
      <c r="F1540" s="134" t="s">
        <v>601</v>
      </c>
      <c r="G1540" s="133"/>
      <c r="H1540" s="133" t="s">
        <v>412</v>
      </c>
      <c r="I1540" s="134"/>
      <c r="J1540" s="146"/>
      <c r="K1540" s="135">
        <f>SUM(K1542:K1544)</f>
        <v>28.892162999999996</v>
      </c>
    </row>
    <row r="1541" spans="1:11">
      <c r="A1541" s="139"/>
      <c r="C1541" s="129" t="s">
        <v>1692</v>
      </c>
      <c r="D1541" s="129" t="s">
        <v>1693</v>
      </c>
      <c r="E1541" s="130" t="s">
        <v>0</v>
      </c>
      <c r="F1541" s="130" t="s">
        <v>1694</v>
      </c>
      <c r="G1541" s="129"/>
      <c r="H1541" s="129" t="s">
        <v>1695</v>
      </c>
      <c r="I1541" s="130" t="s">
        <v>1696</v>
      </c>
      <c r="J1541" s="130" t="s">
        <v>1697</v>
      </c>
      <c r="K1541" s="131" t="s">
        <v>1698</v>
      </c>
    </row>
    <row r="1542" spans="1:11">
      <c r="A1542" s="139"/>
      <c r="C1542" s="252" t="s">
        <v>698</v>
      </c>
      <c r="D1542" s="252" t="s">
        <v>2114</v>
      </c>
      <c r="E1542" s="251" t="s">
        <v>435</v>
      </c>
      <c r="F1542" s="1033" t="s">
        <v>2115</v>
      </c>
      <c r="G1542" s="1033"/>
      <c r="H1542" s="252" t="s">
        <v>412</v>
      </c>
      <c r="I1542" s="257">
        <v>0.57079999999999997</v>
      </c>
      <c r="J1542" s="257">
        <v>33.909999999999997</v>
      </c>
      <c r="K1542" s="138">
        <f>I1542*J1542</f>
        <v>19.355827999999999</v>
      </c>
    </row>
    <row r="1543" spans="1:11">
      <c r="C1543" s="252" t="s">
        <v>698</v>
      </c>
      <c r="D1543" s="252" t="s">
        <v>2116</v>
      </c>
      <c r="E1543" s="251" t="s">
        <v>2117</v>
      </c>
      <c r="F1543" s="1033" t="s">
        <v>1703</v>
      </c>
      <c r="G1543" s="1033"/>
      <c r="H1543" s="252" t="s">
        <v>438</v>
      </c>
      <c r="I1543" s="257">
        <v>2.1000000000000001E-2</v>
      </c>
      <c r="J1543" s="257">
        <v>19.98</v>
      </c>
      <c r="K1543" s="138">
        <f t="shared" ref="K1543:K1544" si="137">I1543*J1543</f>
        <v>0.41958000000000001</v>
      </c>
    </row>
    <row r="1544" spans="1:11">
      <c r="C1544" s="252" t="s">
        <v>698</v>
      </c>
      <c r="D1544" s="252" t="s">
        <v>2118</v>
      </c>
      <c r="E1544" s="251" t="s">
        <v>2119</v>
      </c>
      <c r="F1544" s="1033" t="s">
        <v>1703</v>
      </c>
      <c r="G1544" s="1033"/>
      <c r="H1544" s="252" t="s">
        <v>438</v>
      </c>
      <c r="I1544" s="257">
        <v>0.21049999999999999</v>
      </c>
      <c r="J1544" s="257">
        <v>43.31</v>
      </c>
      <c r="K1544" s="138">
        <f t="shared" si="137"/>
        <v>9.1167549999999995</v>
      </c>
    </row>
    <row r="1545" spans="1:11">
      <c r="C1545" s="252"/>
      <c r="D1545" s="252"/>
      <c r="E1545" s="251"/>
      <c r="F1545" s="1033"/>
      <c r="G1545" s="1034"/>
      <c r="H1545" s="252"/>
      <c r="I1545" s="251"/>
      <c r="J1545" s="251"/>
      <c r="K1545" s="138"/>
    </row>
    <row r="1546" spans="1:11" ht="83.25" customHeight="1">
      <c r="C1546" s="133" t="s">
        <v>698</v>
      </c>
      <c r="D1546" s="133">
        <v>95746</v>
      </c>
      <c r="E1546" s="134" t="s">
        <v>2177</v>
      </c>
      <c r="F1546" s="134" t="s">
        <v>2188</v>
      </c>
      <c r="G1546" s="133"/>
      <c r="H1546" s="133" t="s">
        <v>405</v>
      </c>
      <c r="I1546" s="134"/>
      <c r="J1546" s="146">
        <f>K1546</f>
        <v>28.980122999999999</v>
      </c>
      <c r="K1546" s="135">
        <f>SUM(K1547:K1550)</f>
        <v>28.980122999999999</v>
      </c>
    </row>
    <row r="1547" spans="1:11" ht="25.5" customHeight="1">
      <c r="C1547" s="280" t="s">
        <v>698</v>
      </c>
      <c r="D1547" s="281" t="s">
        <v>2167</v>
      </c>
      <c r="E1547" s="281" t="s">
        <v>474</v>
      </c>
      <c r="F1547" s="1039" t="s">
        <v>2115</v>
      </c>
      <c r="G1547" s="1039"/>
      <c r="H1547" s="282" t="s">
        <v>412</v>
      </c>
      <c r="I1547" s="283">
        <v>26.96</v>
      </c>
      <c r="J1547" s="283">
        <v>0.10440000000000001</v>
      </c>
      <c r="K1547" s="861">
        <f>I1547*J1547</f>
        <v>2.8146240000000002</v>
      </c>
    </row>
    <row r="1548" spans="1:11" ht="25.5" customHeight="1">
      <c r="C1548" s="280" t="s">
        <v>698</v>
      </c>
      <c r="D1548" s="281" t="s">
        <v>2168</v>
      </c>
      <c r="E1548" s="281" t="s">
        <v>475</v>
      </c>
      <c r="F1548" s="1039" t="s">
        <v>2115</v>
      </c>
      <c r="G1548" s="1039"/>
      <c r="H1548" s="282" t="s">
        <v>412</v>
      </c>
      <c r="I1548" s="283">
        <v>32.99</v>
      </c>
      <c r="J1548" s="283">
        <v>0.10440000000000001</v>
      </c>
      <c r="K1548" s="861">
        <f t="shared" ref="K1548:K1550" si="138">I1548*J1548</f>
        <v>3.4441560000000004</v>
      </c>
    </row>
    <row r="1549" spans="1:11" ht="51" customHeight="1">
      <c r="C1549" s="280" t="s">
        <v>698</v>
      </c>
      <c r="D1549" s="281" t="s">
        <v>2170</v>
      </c>
      <c r="E1549" s="281" t="s">
        <v>2171</v>
      </c>
      <c r="F1549" s="1039" t="s">
        <v>2172</v>
      </c>
      <c r="G1549" s="1039"/>
      <c r="H1549" s="282" t="s">
        <v>411</v>
      </c>
      <c r="I1549" s="283" t="s">
        <v>2173</v>
      </c>
      <c r="J1549" s="283" t="s">
        <v>2174</v>
      </c>
      <c r="K1549" s="861">
        <f t="shared" si="138"/>
        <v>4.9028429999999998</v>
      </c>
    </row>
    <row r="1550" spans="1:11" ht="25.5">
      <c r="C1550" s="280" t="s">
        <v>698</v>
      </c>
      <c r="D1550" s="281" t="s">
        <v>2175</v>
      </c>
      <c r="E1550" s="281" t="s">
        <v>2178</v>
      </c>
      <c r="F1550" s="1039" t="s">
        <v>1703</v>
      </c>
      <c r="G1550" s="1039"/>
      <c r="H1550" s="282" t="s">
        <v>405</v>
      </c>
      <c r="I1550" s="283">
        <v>16.97</v>
      </c>
      <c r="J1550" s="283" t="s">
        <v>2176</v>
      </c>
      <c r="K1550" s="861">
        <f t="shared" si="138"/>
        <v>17.8185</v>
      </c>
    </row>
    <row r="1551" spans="1:11">
      <c r="C1551" s="311"/>
      <c r="D1551" s="312"/>
      <c r="E1551" s="312"/>
      <c r="F1551" s="313"/>
      <c r="G1551" s="313"/>
      <c r="H1551" s="313"/>
      <c r="I1551" s="314"/>
      <c r="J1551" s="314"/>
      <c r="K1551" s="314"/>
    </row>
    <row r="1552" spans="1:11" ht="81.75" customHeight="1">
      <c r="C1552" s="315" t="s">
        <v>698</v>
      </c>
      <c r="D1552" s="315">
        <v>95802</v>
      </c>
      <c r="E1552" s="316" t="s">
        <v>2187</v>
      </c>
      <c r="F1552" s="316" t="s">
        <v>2188</v>
      </c>
      <c r="G1552" s="315"/>
      <c r="H1552" s="315" t="s">
        <v>2189</v>
      </c>
      <c r="I1552" s="316"/>
      <c r="J1552" s="317"/>
      <c r="K1552" s="318">
        <f>SUM(K1553:K1556)</f>
        <v>54.983075000000007</v>
      </c>
    </row>
    <row r="1553" spans="1:11" ht="25.5" customHeight="1">
      <c r="C1553" s="280" t="s">
        <v>698</v>
      </c>
      <c r="D1553" s="319" t="s">
        <v>2167</v>
      </c>
      <c r="E1553" s="319" t="s">
        <v>474</v>
      </c>
      <c r="F1553" s="1043" t="s">
        <v>2115</v>
      </c>
      <c r="G1553" s="1044"/>
      <c r="H1553" s="320" t="s">
        <v>412</v>
      </c>
      <c r="I1553" s="321">
        <v>26.96</v>
      </c>
      <c r="J1553" s="321">
        <v>0.53849999999999998</v>
      </c>
      <c r="K1553" s="321">
        <f>I1553*J1553</f>
        <v>14.51796</v>
      </c>
    </row>
    <row r="1554" spans="1:11" ht="25.5" customHeight="1">
      <c r="C1554" s="280" t="s">
        <v>698</v>
      </c>
      <c r="D1554" s="319" t="s">
        <v>2168</v>
      </c>
      <c r="E1554" s="319" t="s">
        <v>475</v>
      </c>
      <c r="F1554" s="1043" t="s">
        <v>2115</v>
      </c>
      <c r="G1554" s="1044"/>
      <c r="H1554" s="320" t="s">
        <v>412</v>
      </c>
      <c r="I1554" s="321">
        <v>32.99</v>
      </c>
      <c r="J1554" s="321">
        <v>0.53849999999999998</v>
      </c>
      <c r="K1554" s="321">
        <f t="shared" ref="K1554:K1556" si="139">I1554*J1554</f>
        <v>17.765115000000002</v>
      </c>
    </row>
    <row r="1555" spans="1:11" ht="25.5">
      <c r="C1555" s="280" t="s">
        <v>698</v>
      </c>
      <c r="D1555" s="319" t="s">
        <v>2182</v>
      </c>
      <c r="E1555" s="319" t="s">
        <v>2183</v>
      </c>
      <c r="F1555" s="1043" t="s">
        <v>1703</v>
      </c>
      <c r="G1555" s="1044"/>
      <c r="H1555" s="320" t="s">
        <v>411</v>
      </c>
      <c r="I1555" s="321">
        <v>22.3</v>
      </c>
      <c r="J1555" s="321" t="s">
        <v>2184</v>
      </c>
      <c r="K1555" s="321">
        <f t="shared" si="139"/>
        <v>22.3</v>
      </c>
    </row>
    <row r="1556" spans="1:11" ht="25.5">
      <c r="C1556" s="280" t="s">
        <v>698</v>
      </c>
      <c r="D1556" s="319" t="s">
        <v>2185</v>
      </c>
      <c r="E1556" s="319" t="s">
        <v>463</v>
      </c>
      <c r="F1556" s="1043" t="s">
        <v>1703</v>
      </c>
      <c r="G1556" s="1044"/>
      <c r="H1556" s="320" t="s">
        <v>411</v>
      </c>
      <c r="I1556" s="321" t="s">
        <v>2186</v>
      </c>
      <c r="J1556" s="321" t="s">
        <v>2169</v>
      </c>
      <c r="K1556" s="321">
        <f t="shared" si="139"/>
        <v>0.4</v>
      </c>
    </row>
    <row r="1557" spans="1:11">
      <c r="C1557" s="262"/>
      <c r="D1557" s="263"/>
      <c r="E1557" s="263"/>
      <c r="F1557" s="261"/>
      <c r="G1557" s="261"/>
      <c r="H1557" s="261"/>
      <c r="I1557" s="261"/>
      <c r="J1557" s="261"/>
      <c r="K1557" s="261"/>
    </row>
    <row r="1558" spans="1:11" ht="32.25" customHeight="1">
      <c r="B1558" s="634" t="s">
        <v>1700</v>
      </c>
      <c r="C1558" s="634" t="s">
        <v>698</v>
      </c>
      <c r="D1558" s="315">
        <v>88650</v>
      </c>
      <c r="E1558" s="639" t="s">
        <v>2292</v>
      </c>
      <c r="F1558" s="1040" t="s">
        <v>2293</v>
      </c>
      <c r="G1558" s="1040"/>
      <c r="H1558" s="635" t="s">
        <v>2189</v>
      </c>
      <c r="I1558" s="636"/>
      <c r="J1558" s="637"/>
      <c r="K1558" s="638">
        <f>SUM(K1560:K1564)</f>
        <v>19.39743</v>
      </c>
    </row>
    <row r="1559" spans="1:11" ht="22.5" customHeight="1">
      <c r="A1559" s="128"/>
      <c r="B1559" s="129" t="s">
        <v>1691</v>
      </c>
      <c r="C1559" s="129" t="s">
        <v>1692</v>
      </c>
      <c r="D1559" s="129" t="s">
        <v>1693</v>
      </c>
      <c r="E1559" s="130" t="s">
        <v>0</v>
      </c>
      <c r="F1559" s="1045" t="s">
        <v>1694</v>
      </c>
      <c r="G1559" s="1045"/>
      <c r="H1559" s="129" t="s">
        <v>1695</v>
      </c>
      <c r="I1559" s="130" t="s">
        <v>1696</v>
      </c>
      <c r="J1559" s="130" t="s">
        <v>1697</v>
      </c>
      <c r="K1559" s="131" t="s">
        <v>1698</v>
      </c>
    </row>
    <row r="1560" spans="1:11" ht="25.5" customHeight="1">
      <c r="B1560" s="630" t="s">
        <v>1705</v>
      </c>
      <c r="C1560" s="280" t="s">
        <v>698</v>
      </c>
      <c r="D1560" s="631">
        <v>88256</v>
      </c>
      <c r="E1560" s="631" t="s">
        <v>625</v>
      </c>
      <c r="F1560" s="1046" t="s">
        <v>2115</v>
      </c>
      <c r="G1560" s="1047"/>
      <c r="H1560" s="632" t="s">
        <v>412</v>
      </c>
      <c r="I1560" s="633" t="s">
        <v>2281</v>
      </c>
      <c r="J1560" s="633">
        <v>34.53</v>
      </c>
      <c r="K1560" s="633">
        <f>J1560*I1560</f>
        <v>2.9350500000000004</v>
      </c>
    </row>
    <row r="1561" spans="1:11" ht="25.5" customHeight="1">
      <c r="B1561" s="630" t="s">
        <v>1705</v>
      </c>
      <c r="C1561" s="280" t="s">
        <v>698</v>
      </c>
      <c r="D1561" s="631" t="s">
        <v>2282</v>
      </c>
      <c r="E1561" s="631" t="s">
        <v>414</v>
      </c>
      <c r="F1561" s="1046" t="s">
        <v>2115</v>
      </c>
      <c r="G1561" s="1047"/>
      <c r="H1561" s="632" t="s">
        <v>412</v>
      </c>
      <c r="I1561" s="633" t="s">
        <v>2283</v>
      </c>
      <c r="J1561" s="633">
        <v>25.49</v>
      </c>
      <c r="K1561" s="633">
        <f t="shared" ref="K1561:K1564" si="140">J1561*I1561</f>
        <v>0.79018999999999995</v>
      </c>
    </row>
    <row r="1562" spans="1:11" ht="25.5">
      <c r="B1562" s="630" t="s">
        <v>792</v>
      </c>
      <c r="C1562" s="280" t="s">
        <v>698</v>
      </c>
      <c r="D1562" s="631" t="s">
        <v>2284</v>
      </c>
      <c r="E1562" s="631" t="s">
        <v>2285</v>
      </c>
      <c r="F1562" s="1046" t="s">
        <v>1703</v>
      </c>
      <c r="G1562" s="1047"/>
      <c r="H1562" s="632" t="s">
        <v>4</v>
      </c>
      <c r="I1562" s="633" t="s">
        <v>2286</v>
      </c>
      <c r="J1562" s="633">
        <v>79.34</v>
      </c>
      <c r="K1562" s="633">
        <f t="shared" si="140"/>
        <v>14.91592</v>
      </c>
    </row>
    <row r="1563" spans="1:11">
      <c r="B1563" s="630" t="s">
        <v>792</v>
      </c>
      <c r="C1563" s="280" t="s">
        <v>698</v>
      </c>
      <c r="D1563" s="631" t="s">
        <v>2287</v>
      </c>
      <c r="E1563" s="631" t="s">
        <v>2288</v>
      </c>
      <c r="F1563" s="1046" t="s">
        <v>1703</v>
      </c>
      <c r="G1563" s="1047"/>
      <c r="H1563" s="632" t="s">
        <v>415</v>
      </c>
      <c r="I1563" s="633" t="s">
        <v>2289</v>
      </c>
      <c r="J1563" s="633">
        <v>0.69</v>
      </c>
      <c r="K1563" s="633">
        <f t="shared" si="140"/>
        <v>0.41606999999999994</v>
      </c>
    </row>
    <row r="1564" spans="1:11">
      <c r="B1564" s="630" t="s">
        <v>792</v>
      </c>
      <c r="C1564" s="280" t="s">
        <v>698</v>
      </c>
      <c r="D1564" s="631" t="s">
        <v>2290</v>
      </c>
      <c r="E1564" s="631" t="s">
        <v>624</v>
      </c>
      <c r="F1564" s="1046" t="s">
        <v>1703</v>
      </c>
      <c r="G1564" s="1047"/>
      <c r="H1564" s="632" t="s">
        <v>415</v>
      </c>
      <c r="I1564" s="633" t="s">
        <v>2291</v>
      </c>
      <c r="J1564" s="633">
        <v>4.05</v>
      </c>
      <c r="K1564" s="633">
        <f t="shared" si="140"/>
        <v>0.3402</v>
      </c>
    </row>
    <row r="1565" spans="1:11">
      <c r="C1565" s="627"/>
      <c r="D1565" s="627"/>
      <c r="E1565" s="627"/>
      <c r="F1565" s="627"/>
      <c r="G1565" s="628"/>
      <c r="H1565" s="629"/>
      <c r="I1565" s="629"/>
      <c r="J1565" s="629"/>
      <c r="K1565" s="629"/>
    </row>
    <row r="1566" spans="1:11">
      <c r="C1566" s="258"/>
      <c r="D1566" s="258"/>
      <c r="E1566" s="258"/>
      <c r="F1566" s="258"/>
      <c r="G1566" s="259"/>
      <c r="H1566" s="260"/>
      <c r="I1566" s="260"/>
      <c r="J1566" s="260"/>
      <c r="K1566" s="260"/>
    </row>
    <row r="1567" spans="1:11" ht="15.75">
      <c r="B1567" s="634" t="s">
        <v>1700</v>
      </c>
      <c r="C1567" s="634" t="s">
        <v>698</v>
      </c>
      <c r="D1567" s="315">
        <v>98688</v>
      </c>
      <c r="E1567" s="639" t="s">
        <v>2296</v>
      </c>
      <c r="F1567" s="1040" t="s">
        <v>2293</v>
      </c>
      <c r="G1567" s="1040"/>
      <c r="H1567" s="635" t="s">
        <v>2189</v>
      </c>
      <c r="I1567" s="636"/>
      <c r="J1567" s="637"/>
      <c r="K1567" s="638">
        <f>SUM(K1569:K1572)</f>
        <v>54.102830000000004</v>
      </c>
    </row>
    <row r="1568" spans="1:11">
      <c r="B1568" s="129" t="s">
        <v>1691</v>
      </c>
      <c r="C1568" s="129" t="s">
        <v>1692</v>
      </c>
      <c r="D1568" s="129" t="s">
        <v>1693</v>
      </c>
      <c r="E1568" s="130" t="s">
        <v>0</v>
      </c>
      <c r="F1568" s="1041" t="s">
        <v>1694</v>
      </c>
      <c r="G1568" s="1041"/>
      <c r="H1568" s="129" t="s">
        <v>1695</v>
      </c>
      <c r="I1568" s="130" t="s">
        <v>1696</v>
      </c>
      <c r="J1568" s="130" t="s">
        <v>1697</v>
      </c>
      <c r="K1568" s="131" t="s">
        <v>1698</v>
      </c>
    </row>
    <row r="1569" spans="2:11" ht="25.5" customHeight="1">
      <c r="B1569" s="630" t="s">
        <v>1705</v>
      </c>
      <c r="C1569" s="280" t="s">
        <v>698</v>
      </c>
      <c r="D1569" s="631" t="s">
        <v>2297</v>
      </c>
      <c r="E1569" s="631" t="s">
        <v>445</v>
      </c>
      <c r="F1569" s="1042" t="s">
        <v>2115</v>
      </c>
      <c r="G1569" s="1042"/>
      <c r="H1569" s="632" t="s">
        <v>412</v>
      </c>
      <c r="I1569" s="633" t="s">
        <v>2302</v>
      </c>
      <c r="J1569" s="641">
        <v>32.65</v>
      </c>
      <c r="K1569" s="642">
        <f>I1569*J1569</f>
        <v>3.3629499999999997</v>
      </c>
    </row>
    <row r="1570" spans="2:11" ht="25.5" customHeight="1">
      <c r="B1570" s="630" t="s">
        <v>1705</v>
      </c>
      <c r="C1570" s="280" t="s">
        <v>698</v>
      </c>
      <c r="D1570" s="631" t="s">
        <v>2282</v>
      </c>
      <c r="E1570" s="631" t="s">
        <v>414</v>
      </c>
      <c r="F1570" s="1042" t="s">
        <v>2115</v>
      </c>
      <c r="G1570" s="1042"/>
      <c r="H1570" s="632" t="s">
        <v>412</v>
      </c>
      <c r="I1570" s="633" t="s">
        <v>2303</v>
      </c>
      <c r="J1570" s="641">
        <v>25.49</v>
      </c>
      <c r="K1570" s="642">
        <f t="shared" ref="K1570:K1572" si="141">I1570*J1570</f>
        <v>1.3254799999999998</v>
      </c>
    </row>
    <row r="1571" spans="2:11">
      <c r="B1571" s="630" t="s">
        <v>792</v>
      </c>
      <c r="C1571" s="280" t="s">
        <v>698</v>
      </c>
      <c r="D1571" s="631" t="s">
        <v>2298</v>
      </c>
      <c r="E1571" s="631" t="s">
        <v>2299</v>
      </c>
      <c r="F1571" s="1042" t="s">
        <v>1703</v>
      </c>
      <c r="G1571" s="1042"/>
      <c r="H1571" s="632" t="s">
        <v>415</v>
      </c>
      <c r="I1571" s="633" t="s">
        <v>2304</v>
      </c>
      <c r="J1571" s="641">
        <v>47.86</v>
      </c>
      <c r="K1571" s="642">
        <f t="shared" si="141"/>
        <v>15.793800000000001</v>
      </c>
    </row>
    <row r="1572" spans="2:11">
      <c r="B1572" s="630" t="s">
        <v>792</v>
      </c>
      <c r="C1572" s="640"/>
      <c r="D1572" s="631" t="s">
        <v>2300</v>
      </c>
      <c r="E1572" s="631" t="s">
        <v>2301</v>
      </c>
      <c r="F1572" s="1042" t="s">
        <v>1703</v>
      </c>
      <c r="G1572" s="1042"/>
      <c r="H1572" s="632" t="s">
        <v>405</v>
      </c>
      <c r="I1572" s="633" t="s">
        <v>2305</v>
      </c>
      <c r="J1572" s="641">
        <v>25.09</v>
      </c>
      <c r="K1572" s="642">
        <f t="shared" si="141"/>
        <v>33.620600000000003</v>
      </c>
    </row>
    <row r="1574" spans="2:11" ht="25.5">
      <c r="B1574" s="634" t="s">
        <v>1700</v>
      </c>
      <c r="C1574" s="634" t="s">
        <v>698</v>
      </c>
      <c r="D1574" s="315">
        <v>98689</v>
      </c>
      <c r="E1574" s="639" t="s">
        <v>2516</v>
      </c>
      <c r="F1574" s="1040" t="s">
        <v>2293</v>
      </c>
      <c r="G1574" s="1040"/>
      <c r="H1574" s="635" t="s">
        <v>2189</v>
      </c>
      <c r="I1574" s="636"/>
      <c r="J1574" s="637"/>
      <c r="K1574" s="638">
        <f>SUM(K1576:K1579)</f>
        <v>117.00881000000001</v>
      </c>
    </row>
    <row r="1575" spans="2:11">
      <c r="B1575" s="129" t="s">
        <v>1691</v>
      </c>
      <c r="C1575" s="129" t="s">
        <v>1692</v>
      </c>
      <c r="D1575" s="129" t="s">
        <v>1693</v>
      </c>
      <c r="E1575" s="130" t="s">
        <v>0</v>
      </c>
      <c r="F1575" s="1041" t="s">
        <v>1694</v>
      </c>
      <c r="G1575" s="1041"/>
      <c r="H1575" s="129" t="s">
        <v>1695</v>
      </c>
      <c r="I1575" s="130" t="s">
        <v>1696</v>
      </c>
      <c r="J1575" s="130" t="s">
        <v>1697</v>
      </c>
      <c r="K1575" s="131" t="s">
        <v>1698</v>
      </c>
    </row>
    <row r="1576" spans="2:11">
      <c r="B1576" s="630" t="s">
        <v>1705</v>
      </c>
      <c r="C1576" s="280" t="s">
        <v>698</v>
      </c>
      <c r="D1576" s="631">
        <v>88274</v>
      </c>
      <c r="E1576" s="631" t="s">
        <v>2517</v>
      </c>
      <c r="F1576" s="1042" t="s">
        <v>2115</v>
      </c>
      <c r="G1576" s="1042"/>
      <c r="H1576" s="859" t="s">
        <v>412</v>
      </c>
      <c r="I1576" s="633">
        <v>0.54700000000000004</v>
      </c>
      <c r="J1576" s="641">
        <v>26.92</v>
      </c>
      <c r="K1576" s="642">
        <f>I1576*J1576</f>
        <v>14.725240000000001</v>
      </c>
    </row>
    <row r="1577" spans="2:11">
      <c r="B1577" s="630" t="s">
        <v>1705</v>
      </c>
      <c r="C1577" s="280" t="s">
        <v>698</v>
      </c>
      <c r="D1577" s="631" t="s">
        <v>2282</v>
      </c>
      <c r="E1577" s="631" t="s">
        <v>414</v>
      </c>
      <c r="F1577" s="1042" t="s">
        <v>2115</v>
      </c>
      <c r="G1577" s="1042"/>
      <c r="H1577" s="859" t="s">
        <v>412</v>
      </c>
      <c r="I1577" s="633">
        <v>0.27300000000000002</v>
      </c>
      <c r="J1577" s="641">
        <v>25.49</v>
      </c>
      <c r="K1577" s="642">
        <f t="shared" ref="K1577:K1579" si="142">I1577*J1577</f>
        <v>6.9587700000000003</v>
      </c>
    </row>
    <row r="1578" spans="2:11" ht="25.5">
      <c r="B1578" s="630" t="s">
        <v>792</v>
      </c>
      <c r="C1578" s="280" t="s">
        <v>698</v>
      </c>
      <c r="D1578" s="631">
        <v>20232</v>
      </c>
      <c r="E1578" s="631" t="s">
        <v>2518</v>
      </c>
      <c r="F1578" s="1042" t="s">
        <v>1703</v>
      </c>
      <c r="G1578" s="1042"/>
      <c r="H1578" s="859" t="s">
        <v>405</v>
      </c>
      <c r="I1578" s="633">
        <v>1</v>
      </c>
      <c r="J1578" s="641">
        <v>92.59</v>
      </c>
      <c r="K1578" s="642">
        <f t="shared" si="142"/>
        <v>92.59</v>
      </c>
    </row>
    <row r="1579" spans="2:11">
      <c r="B1579" s="630" t="s">
        <v>792</v>
      </c>
      <c r="C1579" s="280" t="s">
        <v>698</v>
      </c>
      <c r="D1579" s="631">
        <v>37595</v>
      </c>
      <c r="E1579" s="631" t="s">
        <v>2519</v>
      </c>
      <c r="F1579" s="1042" t="s">
        <v>1703</v>
      </c>
      <c r="G1579" s="1042"/>
      <c r="H1579" s="859" t="s">
        <v>415</v>
      </c>
      <c r="I1579" s="633">
        <v>1.29</v>
      </c>
      <c r="J1579" s="641">
        <v>2.12</v>
      </c>
      <c r="K1579" s="642">
        <f t="shared" si="142"/>
        <v>2.7348000000000003</v>
      </c>
    </row>
  </sheetData>
  <sheetProtection formatCells="0" formatColumns="0" formatRows="0" insertColumns="0" insertRows="0" insertHyperlinks="0" deleteColumns="0" deleteRows="0" sort="0" autoFilter="0" pivotTables="0"/>
  <mergeCells count="830">
    <mergeCell ref="F1574:G1574"/>
    <mergeCell ref="F1575:G1575"/>
    <mergeCell ref="F1576:G1576"/>
    <mergeCell ref="F1577:G1577"/>
    <mergeCell ref="F1578:G1578"/>
    <mergeCell ref="F1579:G1579"/>
    <mergeCell ref="F1553:G1553"/>
    <mergeCell ref="F1554:G1554"/>
    <mergeCell ref="F1555:G1555"/>
    <mergeCell ref="F1556:G1556"/>
    <mergeCell ref="F1570:G1570"/>
    <mergeCell ref="F1571:G1571"/>
    <mergeCell ref="F1572:G1572"/>
    <mergeCell ref="F1558:G1558"/>
    <mergeCell ref="F1559:G1559"/>
    <mergeCell ref="F1560:G1560"/>
    <mergeCell ref="F1561:G1561"/>
    <mergeCell ref="F1562:G1562"/>
    <mergeCell ref="F1563:G1563"/>
    <mergeCell ref="F1564:G1564"/>
    <mergeCell ref="F1567:G1567"/>
    <mergeCell ref="F1568:G1568"/>
    <mergeCell ref="F1569:G1569"/>
    <mergeCell ref="F1547:G1547"/>
    <mergeCell ref="F1548:G1548"/>
    <mergeCell ref="F1549:G1549"/>
    <mergeCell ref="F1550:G1550"/>
    <mergeCell ref="F1536:G1536"/>
    <mergeCell ref="F1537:G1537"/>
    <mergeCell ref="F1530:G1530"/>
    <mergeCell ref="F1531:G1531"/>
    <mergeCell ref="F1532:G1532"/>
    <mergeCell ref="F1533:G1533"/>
    <mergeCell ref="F1534:G1534"/>
    <mergeCell ref="F1535:G1535"/>
    <mergeCell ref="F1544:G1544"/>
    <mergeCell ref="F1545:G1545"/>
    <mergeCell ref="F1520:G1520"/>
    <mergeCell ref="F1521:G1521"/>
    <mergeCell ref="F1522:G1522"/>
    <mergeCell ref="F1523:G1523"/>
    <mergeCell ref="F1524:G1524"/>
    <mergeCell ref="F1525:G1525"/>
    <mergeCell ref="F1510:G1510"/>
    <mergeCell ref="F1511:G1511"/>
    <mergeCell ref="F1512:G1512"/>
    <mergeCell ref="F1513:G1513"/>
    <mergeCell ref="F1514:G1514"/>
    <mergeCell ref="F1515:G1515"/>
    <mergeCell ref="F1496:G1496"/>
    <mergeCell ref="F1497:G1497"/>
    <mergeCell ref="F1498:G1498"/>
    <mergeCell ref="F1503:G1503"/>
    <mergeCell ref="F1504:G1504"/>
    <mergeCell ref="F1505:G1505"/>
    <mergeCell ref="F1482:G1482"/>
    <mergeCell ref="F1483:G1483"/>
    <mergeCell ref="F1484:G1484"/>
    <mergeCell ref="F1489:G1489"/>
    <mergeCell ref="F1490:G1490"/>
    <mergeCell ref="F1491:G1491"/>
    <mergeCell ref="F1468:G1468"/>
    <mergeCell ref="F1469:G1469"/>
    <mergeCell ref="F1474:G1474"/>
    <mergeCell ref="F1475:G1475"/>
    <mergeCell ref="F1476:G1476"/>
    <mergeCell ref="F1477:G1477"/>
    <mergeCell ref="F1462:G1462"/>
    <mergeCell ref="F1463:G1463"/>
    <mergeCell ref="F1464:G1464"/>
    <mergeCell ref="F1465:G1465"/>
    <mergeCell ref="F1466:G1466"/>
    <mergeCell ref="F1467:G1467"/>
    <mergeCell ref="F1452:G1452"/>
    <mergeCell ref="F1453:G1453"/>
    <mergeCell ref="F1454:G1454"/>
    <mergeCell ref="F1455:G1455"/>
    <mergeCell ref="F1456:G1456"/>
    <mergeCell ref="F1457:G1457"/>
    <mergeCell ref="F1442:G1442"/>
    <mergeCell ref="F1443:G1443"/>
    <mergeCell ref="F1444:G1444"/>
    <mergeCell ref="F1445:G1445"/>
    <mergeCell ref="F1450:G1450"/>
    <mergeCell ref="F1451:G1451"/>
    <mergeCell ref="F1416:G1416"/>
    <mergeCell ref="F1417:G1417"/>
    <mergeCell ref="F1422:G1422"/>
    <mergeCell ref="F1427:G1427"/>
    <mergeCell ref="F1432:G1432"/>
    <mergeCell ref="F1437:G1437"/>
    <mergeCell ref="F1402:G1402"/>
    <mergeCell ref="F1403:G1403"/>
    <mergeCell ref="F1408:G1408"/>
    <mergeCell ref="F1409:G1409"/>
    <mergeCell ref="F1414:G1414"/>
    <mergeCell ref="F1415:G1415"/>
    <mergeCell ref="F1392:G1392"/>
    <mergeCell ref="F1393:G1393"/>
    <mergeCell ref="F1394:G1394"/>
    <mergeCell ref="F1399:G1399"/>
    <mergeCell ref="F1400:G1400"/>
    <mergeCell ref="F1401:G1401"/>
    <mergeCell ref="F1382:G1382"/>
    <mergeCell ref="F1383:G1383"/>
    <mergeCell ref="F1384:G1384"/>
    <mergeCell ref="F1385:G1385"/>
    <mergeCell ref="F1390:G1390"/>
    <mergeCell ref="F1391:G1391"/>
    <mergeCell ref="F1372:G1372"/>
    <mergeCell ref="F1373:G1373"/>
    <mergeCell ref="F1374:G1374"/>
    <mergeCell ref="F1375:G1375"/>
    <mergeCell ref="F1376:G1376"/>
    <mergeCell ref="F1381:G1381"/>
    <mergeCell ref="F1362:G1362"/>
    <mergeCell ref="F1363:G1363"/>
    <mergeCell ref="F1364:G1364"/>
    <mergeCell ref="F1369:G1369"/>
    <mergeCell ref="F1370:G1370"/>
    <mergeCell ref="F1371:G1371"/>
    <mergeCell ref="F1352:G1352"/>
    <mergeCell ref="F1357:G1357"/>
    <mergeCell ref="F1358:G1358"/>
    <mergeCell ref="F1359:G1359"/>
    <mergeCell ref="F1360:G1360"/>
    <mergeCell ref="F1361:G1361"/>
    <mergeCell ref="F1330:G1330"/>
    <mergeCell ref="F1331:G1331"/>
    <mergeCell ref="F1332:G1332"/>
    <mergeCell ref="F1337:G1337"/>
    <mergeCell ref="F1342:G1342"/>
    <mergeCell ref="F1347:G1347"/>
    <mergeCell ref="F1316:G1316"/>
    <mergeCell ref="F1321:G1321"/>
    <mergeCell ref="F1322:G1322"/>
    <mergeCell ref="F1323:G1323"/>
    <mergeCell ref="F1328:G1328"/>
    <mergeCell ref="F1329:G1329"/>
    <mergeCell ref="F1310:G1310"/>
    <mergeCell ref="F1311:G1311"/>
    <mergeCell ref="F1312:G1312"/>
    <mergeCell ref="F1313:G1313"/>
    <mergeCell ref="F1314:G1314"/>
    <mergeCell ref="F1315:G1315"/>
    <mergeCell ref="F1300:G1300"/>
    <mergeCell ref="F1301:G1301"/>
    <mergeCell ref="F1302:G1302"/>
    <mergeCell ref="F1303:G1303"/>
    <mergeCell ref="F1304:G1304"/>
    <mergeCell ref="F1309:G1309"/>
    <mergeCell ref="F1290:G1290"/>
    <mergeCell ref="F1291:G1291"/>
    <mergeCell ref="F1292:G1292"/>
    <mergeCell ref="F1297:G1297"/>
    <mergeCell ref="F1298:G1298"/>
    <mergeCell ref="F1299:G1299"/>
    <mergeCell ref="F1280:G1280"/>
    <mergeCell ref="F1285:G1285"/>
    <mergeCell ref="F1286:G1286"/>
    <mergeCell ref="F1287:G1287"/>
    <mergeCell ref="F1288:G1288"/>
    <mergeCell ref="F1289:G1289"/>
    <mergeCell ref="F1274:G1274"/>
    <mergeCell ref="F1275:G1275"/>
    <mergeCell ref="F1276:G1276"/>
    <mergeCell ref="F1277:G1277"/>
    <mergeCell ref="F1278:G1278"/>
    <mergeCell ref="F1279:G1279"/>
    <mergeCell ref="F1264:G1264"/>
    <mergeCell ref="F1265:G1265"/>
    <mergeCell ref="F1266:G1266"/>
    <mergeCell ref="F1267:G1267"/>
    <mergeCell ref="F1268:G1268"/>
    <mergeCell ref="F1273:G1273"/>
    <mergeCell ref="F1254:G1254"/>
    <mergeCell ref="F1255:G1255"/>
    <mergeCell ref="F1256:G1256"/>
    <mergeCell ref="F1261:G1261"/>
    <mergeCell ref="F1262:G1262"/>
    <mergeCell ref="F1263:G1263"/>
    <mergeCell ref="F1244:G1244"/>
    <mergeCell ref="F1245:G1245"/>
    <mergeCell ref="F1246:G1246"/>
    <mergeCell ref="F1251:G1251"/>
    <mergeCell ref="F1252:G1252"/>
    <mergeCell ref="F1253:G1253"/>
    <mergeCell ref="F1230:G1230"/>
    <mergeCell ref="F1231:G1231"/>
    <mergeCell ref="F1232:G1232"/>
    <mergeCell ref="F1237:G1237"/>
    <mergeCell ref="F1238:G1238"/>
    <mergeCell ref="F1239:G1239"/>
    <mergeCell ref="F1216:G1216"/>
    <mergeCell ref="F1217:G1217"/>
    <mergeCell ref="F1218:G1218"/>
    <mergeCell ref="F1223:G1223"/>
    <mergeCell ref="F1224:G1224"/>
    <mergeCell ref="F1225:G1225"/>
    <mergeCell ref="F1206:G1206"/>
    <mergeCell ref="F1211:G1211"/>
    <mergeCell ref="F1212:G1212"/>
    <mergeCell ref="F1213:G1213"/>
    <mergeCell ref="F1214:G1214"/>
    <mergeCell ref="F1215:G1215"/>
    <mergeCell ref="F1200:G1200"/>
    <mergeCell ref="F1201:G1201"/>
    <mergeCell ref="F1202:G1202"/>
    <mergeCell ref="F1203:G1203"/>
    <mergeCell ref="F1204:G1204"/>
    <mergeCell ref="F1205:G1205"/>
    <mergeCell ref="F1186:G1186"/>
    <mergeCell ref="F1187:G1187"/>
    <mergeCell ref="F1192:G1192"/>
    <mergeCell ref="F1193:G1193"/>
    <mergeCell ref="F1194:G1194"/>
    <mergeCell ref="F1199:G1199"/>
    <mergeCell ref="F1172:G1172"/>
    <mergeCell ref="F1177:G1177"/>
    <mergeCell ref="F1178:G1178"/>
    <mergeCell ref="F1179:G1179"/>
    <mergeCell ref="F1180:G1180"/>
    <mergeCell ref="F1185:G1185"/>
    <mergeCell ref="F1166:G1166"/>
    <mergeCell ref="F1167:G1167"/>
    <mergeCell ref="F1168:G1168"/>
    <mergeCell ref="F1169:G1169"/>
    <mergeCell ref="F1170:G1170"/>
    <mergeCell ref="F1171:G1171"/>
    <mergeCell ref="F1156:G1156"/>
    <mergeCell ref="F1157:G1157"/>
    <mergeCell ref="F1158:G1158"/>
    <mergeCell ref="F1159:G1159"/>
    <mergeCell ref="F1160:G1160"/>
    <mergeCell ref="F1165:G1165"/>
    <mergeCell ref="F1138:G1138"/>
    <mergeCell ref="F1143:G1143"/>
    <mergeCell ref="F1148:G1148"/>
    <mergeCell ref="F1153:G1153"/>
    <mergeCell ref="F1154:G1154"/>
    <mergeCell ref="F1155:G1155"/>
    <mergeCell ref="F1108:G1108"/>
    <mergeCell ref="F1113:G1113"/>
    <mergeCell ref="F1118:G1118"/>
    <mergeCell ref="F1123:G1123"/>
    <mergeCell ref="F1128:G1128"/>
    <mergeCell ref="F1133:G1133"/>
    <mergeCell ref="F1078:G1078"/>
    <mergeCell ref="F1083:G1083"/>
    <mergeCell ref="F1088:G1088"/>
    <mergeCell ref="F1093:G1093"/>
    <mergeCell ref="F1098:G1098"/>
    <mergeCell ref="F1103:G1103"/>
    <mergeCell ref="F1048:G1048"/>
    <mergeCell ref="F1053:G1053"/>
    <mergeCell ref="F1058:G1058"/>
    <mergeCell ref="F1063:G1063"/>
    <mergeCell ref="F1068:G1068"/>
    <mergeCell ref="F1073:G1073"/>
    <mergeCell ref="F1022:G1022"/>
    <mergeCell ref="F1023:G1023"/>
    <mergeCell ref="F1028:G1028"/>
    <mergeCell ref="F1033:G1033"/>
    <mergeCell ref="F1038:G1038"/>
    <mergeCell ref="F1043:G1043"/>
    <mergeCell ref="F1016:G1016"/>
    <mergeCell ref="F1017:G1017"/>
    <mergeCell ref="F1018:G1018"/>
    <mergeCell ref="F1019:G1019"/>
    <mergeCell ref="F1020:G1020"/>
    <mergeCell ref="F1021:G1021"/>
    <mergeCell ref="F1006:G1006"/>
    <mergeCell ref="F1007:G1007"/>
    <mergeCell ref="F1008:G1008"/>
    <mergeCell ref="F1009:G1009"/>
    <mergeCell ref="F1010:G1010"/>
    <mergeCell ref="F1011:G1011"/>
    <mergeCell ref="F988:G988"/>
    <mergeCell ref="F993:G993"/>
    <mergeCell ref="F994:G994"/>
    <mergeCell ref="F999:G999"/>
    <mergeCell ref="F1004:G1004"/>
    <mergeCell ref="F1005:G1005"/>
    <mergeCell ref="F970:G970"/>
    <mergeCell ref="F975:G975"/>
    <mergeCell ref="F976:G976"/>
    <mergeCell ref="F981:G981"/>
    <mergeCell ref="F982:G982"/>
    <mergeCell ref="F987:G987"/>
    <mergeCell ref="F960:G960"/>
    <mergeCell ref="F965:G965"/>
    <mergeCell ref="F966:G966"/>
    <mergeCell ref="F967:G967"/>
    <mergeCell ref="F968:G968"/>
    <mergeCell ref="F969:G969"/>
    <mergeCell ref="F942:G942"/>
    <mergeCell ref="F947:G947"/>
    <mergeCell ref="F952:G952"/>
    <mergeCell ref="F957:G957"/>
    <mergeCell ref="F958:G958"/>
    <mergeCell ref="F959:G959"/>
    <mergeCell ref="F924:G924"/>
    <mergeCell ref="F929:G929"/>
    <mergeCell ref="F930:G930"/>
    <mergeCell ref="F931:G931"/>
    <mergeCell ref="F932:G932"/>
    <mergeCell ref="F937:G937"/>
    <mergeCell ref="F914:G914"/>
    <mergeCell ref="F915:G915"/>
    <mergeCell ref="F916:G916"/>
    <mergeCell ref="F917:G917"/>
    <mergeCell ref="F918:G918"/>
    <mergeCell ref="F923:G923"/>
    <mergeCell ref="F904:G904"/>
    <mergeCell ref="F905:G905"/>
    <mergeCell ref="F906:G906"/>
    <mergeCell ref="F907:G907"/>
    <mergeCell ref="F908:G908"/>
    <mergeCell ref="F909:G909"/>
    <mergeCell ref="F894:G894"/>
    <mergeCell ref="F895:G895"/>
    <mergeCell ref="F896:G896"/>
    <mergeCell ref="F897:G897"/>
    <mergeCell ref="F898:G898"/>
    <mergeCell ref="F903:G903"/>
    <mergeCell ref="F884:G884"/>
    <mergeCell ref="F885:G885"/>
    <mergeCell ref="F886:G886"/>
    <mergeCell ref="F891:G891"/>
    <mergeCell ref="F892:G892"/>
    <mergeCell ref="F893:G893"/>
    <mergeCell ref="F874:G874"/>
    <mergeCell ref="F879:G879"/>
    <mergeCell ref="F880:G880"/>
    <mergeCell ref="F881:G881"/>
    <mergeCell ref="F882:G882"/>
    <mergeCell ref="F883:G883"/>
    <mergeCell ref="F868:G868"/>
    <mergeCell ref="F869:G869"/>
    <mergeCell ref="F870:G870"/>
    <mergeCell ref="F871:G871"/>
    <mergeCell ref="F872:G872"/>
    <mergeCell ref="F873:G873"/>
    <mergeCell ref="F854:G854"/>
    <mergeCell ref="F855:G855"/>
    <mergeCell ref="F860:G860"/>
    <mergeCell ref="F861:G861"/>
    <mergeCell ref="F862:G862"/>
    <mergeCell ref="F867:G867"/>
    <mergeCell ref="F844:G844"/>
    <mergeCell ref="F845:G845"/>
    <mergeCell ref="F846:G846"/>
    <mergeCell ref="F847:G847"/>
    <mergeCell ref="F848:G848"/>
    <mergeCell ref="F853:G853"/>
    <mergeCell ref="F830:G830"/>
    <mergeCell ref="F835:G835"/>
    <mergeCell ref="F836:G836"/>
    <mergeCell ref="F837:G837"/>
    <mergeCell ref="F838:G838"/>
    <mergeCell ref="F843:G843"/>
    <mergeCell ref="F820:G820"/>
    <mergeCell ref="F821:G821"/>
    <mergeCell ref="F822:G822"/>
    <mergeCell ref="F827:G827"/>
    <mergeCell ref="F828:G828"/>
    <mergeCell ref="F829:G829"/>
    <mergeCell ref="F810:G810"/>
    <mergeCell ref="F811:G811"/>
    <mergeCell ref="F812:G812"/>
    <mergeCell ref="F813:G813"/>
    <mergeCell ref="F814:G814"/>
    <mergeCell ref="F819:G819"/>
    <mergeCell ref="F800:G800"/>
    <mergeCell ref="F801:G801"/>
    <mergeCell ref="F802:G802"/>
    <mergeCell ref="F807:G807"/>
    <mergeCell ref="F808:G808"/>
    <mergeCell ref="F809:G809"/>
    <mergeCell ref="F787:G787"/>
    <mergeCell ref="F788:G788"/>
    <mergeCell ref="F789:G789"/>
    <mergeCell ref="F797:G797"/>
    <mergeCell ref="F798:G798"/>
    <mergeCell ref="F799:G799"/>
    <mergeCell ref="F775:G775"/>
    <mergeCell ref="F776:G776"/>
    <mergeCell ref="F777:G777"/>
    <mergeCell ref="F781:G781"/>
    <mergeCell ref="F782:G782"/>
    <mergeCell ref="F783:G783"/>
    <mergeCell ref="F763:G763"/>
    <mergeCell ref="F764:G764"/>
    <mergeCell ref="F768:G768"/>
    <mergeCell ref="F769:G769"/>
    <mergeCell ref="F770:G770"/>
    <mergeCell ref="F771:G771"/>
    <mergeCell ref="F754:G754"/>
    <mergeCell ref="F755:G755"/>
    <mergeCell ref="F756:G756"/>
    <mergeCell ref="F757:G757"/>
    <mergeCell ref="F761:G761"/>
    <mergeCell ref="F762:G762"/>
    <mergeCell ref="F742:G742"/>
    <mergeCell ref="F743:G743"/>
    <mergeCell ref="F747:G747"/>
    <mergeCell ref="F748:G748"/>
    <mergeCell ref="F749:G749"/>
    <mergeCell ref="F750:G750"/>
    <mergeCell ref="F730:G730"/>
    <mergeCell ref="F734:G734"/>
    <mergeCell ref="F735:G735"/>
    <mergeCell ref="F736:G736"/>
    <mergeCell ref="F740:G740"/>
    <mergeCell ref="F741:G741"/>
    <mergeCell ref="F715:G715"/>
    <mergeCell ref="F719:G719"/>
    <mergeCell ref="F720:G720"/>
    <mergeCell ref="F724:G724"/>
    <mergeCell ref="F725:G725"/>
    <mergeCell ref="F729:G729"/>
    <mergeCell ref="F703:G703"/>
    <mergeCell ref="F704:G704"/>
    <mergeCell ref="F708:G708"/>
    <mergeCell ref="F709:G709"/>
    <mergeCell ref="F710:G710"/>
    <mergeCell ref="F714:G714"/>
    <mergeCell ref="F688:G688"/>
    <mergeCell ref="F689:G689"/>
    <mergeCell ref="F693:G693"/>
    <mergeCell ref="F694:G694"/>
    <mergeCell ref="F698:G698"/>
    <mergeCell ref="F699:G699"/>
    <mergeCell ref="F676:G676"/>
    <mergeCell ref="F677:G677"/>
    <mergeCell ref="F681:G681"/>
    <mergeCell ref="F682:G682"/>
    <mergeCell ref="F683:G683"/>
    <mergeCell ref="F684:G684"/>
    <mergeCell ref="F667:G667"/>
    <mergeCell ref="F668:G668"/>
    <mergeCell ref="F669:G669"/>
    <mergeCell ref="F670:G670"/>
    <mergeCell ref="F671:G671"/>
    <mergeCell ref="F675:G675"/>
    <mergeCell ref="F658:G658"/>
    <mergeCell ref="F659:G659"/>
    <mergeCell ref="F660:G660"/>
    <mergeCell ref="F661:G661"/>
    <mergeCell ref="F662:G662"/>
    <mergeCell ref="F666:G666"/>
    <mergeCell ref="F649:G649"/>
    <mergeCell ref="F650:G650"/>
    <mergeCell ref="F651:G651"/>
    <mergeCell ref="F655:G655"/>
    <mergeCell ref="F656:G656"/>
    <mergeCell ref="F657:G657"/>
    <mergeCell ref="F640:G640"/>
    <mergeCell ref="F641:G641"/>
    <mergeCell ref="F642:G642"/>
    <mergeCell ref="F646:G646"/>
    <mergeCell ref="F647:G647"/>
    <mergeCell ref="F648:G648"/>
    <mergeCell ref="F631:G631"/>
    <mergeCell ref="F632:G632"/>
    <mergeCell ref="F633:G633"/>
    <mergeCell ref="F637:G637"/>
    <mergeCell ref="F638:G638"/>
    <mergeCell ref="F639:G639"/>
    <mergeCell ref="F622:G622"/>
    <mergeCell ref="F623:G623"/>
    <mergeCell ref="F624:G624"/>
    <mergeCell ref="F625:G625"/>
    <mergeCell ref="F629:G629"/>
    <mergeCell ref="F630:G630"/>
    <mergeCell ref="F613:G613"/>
    <mergeCell ref="F614:G614"/>
    <mergeCell ref="F615:G615"/>
    <mergeCell ref="F616:G616"/>
    <mergeCell ref="F617:G617"/>
    <mergeCell ref="F621:G621"/>
    <mergeCell ref="F603:G603"/>
    <mergeCell ref="F605:G605"/>
    <mergeCell ref="F606:G606"/>
    <mergeCell ref="F607:G607"/>
    <mergeCell ref="F608:G608"/>
    <mergeCell ref="F612:G612"/>
    <mergeCell ref="F604:G604"/>
    <mergeCell ref="F591:G591"/>
    <mergeCell ref="F595:G595"/>
    <mergeCell ref="F596:G596"/>
    <mergeCell ref="F597:G597"/>
    <mergeCell ref="F598:G598"/>
    <mergeCell ref="F599:G599"/>
    <mergeCell ref="F582:G582"/>
    <mergeCell ref="F583:G583"/>
    <mergeCell ref="F587:G587"/>
    <mergeCell ref="F588:G588"/>
    <mergeCell ref="F589:G589"/>
    <mergeCell ref="F590:G590"/>
    <mergeCell ref="F570:G570"/>
    <mergeCell ref="F571:G571"/>
    <mergeCell ref="F572:G572"/>
    <mergeCell ref="F577:G577"/>
    <mergeCell ref="F579:G579"/>
    <mergeCell ref="F581:G581"/>
    <mergeCell ref="F561:G561"/>
    <mergeCell ref="F562:G562"/>
    <mergeCell ref="F563:G563"/>
    <mergeCell ref="F564:G564"/>
    <mergeCell ref="F568:G568"/>
    <mergeCell ref="F569:G569"/>
    <mergeCell ref="F578:G578"/>
    <mergeCell ref="F580:G580"/>
    <mergeCell ref="F552:G552"/>
    <mergeCell ref="F553:G553"/>
    <mergeCell ref="F554:G554"/>
    <mergeCell ref="F555:G555"/>
    <mergeCell ref="F559:G559"/>
    <mergeCell ref="F560:G560"/>
    <mergeCell ref="F543:G543"/>
    <mergeCell ref="F544:G544"/>
    <mergeCell ref="F545:G545"/>
    <mergeCell ref="F546:G546"/>
    <mergeCell ref="F550:G550"/>
    <mergeCell ref="F551:G551"/>
    <mergeCell ref="F537:G537"/>
    <mergeCell ref="F541:G541"/>
    <mergeCell ref="F542:G542"/>
    <mergeCell ref="F521:G521"/>
    <mergeCell ref="F522:G522"/>
    <mergeCell ref="F523:G523"/>
    <mergeCell ref="F528:G528"/>
    <mergeCell ref="F529:G529"/>
    <mergeCell ref="F530:G530"/>
    <mergeCell ref="F479:G479"/>
    <mergeCell ref="F480:G480"/>
    <mergeCell ref="F481:G481"/>
    <mergeCell ref="F485:G485"/>
    <mergeCell ref="F486:G486"/>
    <mergeCell ref="F487:G487"/>
    <mergeCell ref="F514:G514"/>
    <mergeCell ref="F515:G515"/>
    <mergeCell ref="F516:G516"/>
    <mergeCell ref="F493:G493"/>
    <mergeCell ref="F494:G494"/>
    <mergeCell ref="F495:G495"/>
    <mergeCell ref="F500:G500"/>
    <mergeCell ref="F501:G501"/>
    <mergeCell ref="F502:G502"/>
    <mergeCell ref="F470:G470"/>
    <mergeCell ref="F471:G471"/>
    <mergeCell ref="F472:G472"/>
    <mergeCell ref="F473:G473"/>
    <mergeCell ref="F477:G477"/>
    <mergeCell ref="F478:G478"/>
    <mergeCell ref="F461:G461"/>
    <mergeCell ref="F462:G462"/>
    <mergeCell ref="F463:G463"/>
    <mergeCell ref="F464:G464"/>
    <mergeCell ref="F465:G465"/>
    <mergeCell ref="F469:G469"/>
    <mergeCell ref="F449:G449"/>
    <mergeCell ref="F453:G453"/>
    <mergeCell ref="F454:G454"/>
    <mergeCell ref="F455:G455"/>
    <mergeCell ref="F456:G456"/>
    <mergeCell ref="F457:G457"/>
    <mergeCell ref="F440:G440"/>
    <mergeCell ref="F441:G441"/>
    <mergeCell ref="F445:G445"/>
    <mergeCell ref="F446:G446"/>
    <mergeCell ref="F447:G447"/>
    <mergeCell ref="F448:G448"/>
    <mergeCell ref="F431:G431"/>
    <mergeCell ref="F432:G432"/>
    <mergeCell ref="F433:G433"/>
    <mergeCell ref="F434:G434"/>
    <mergeCell ref="F438:G438"/>
    <mergeCell ref="F439:G439"/>
    <mergeCell ref="F419:G419"/>
    <mergeCell ref="F420:G420"/>
    <mergeCell ref="F424:G424"/>
    <mergeCell ref="F425:G425"/>
    <mergeCell ref="F426:G426"/>
    <mergeCell ref="F427:G427"/>
    <mergeCell ref="F407:G407"/>
    <mergeCell ref="F411:G411"/>
    <mergeCell ref="F412:G412"/>
    <mergeCell ref="F413:G413"/>
    <mergeCell ref="F417:G417"/>
    <mergeCell ref="F418:G418"/>
    <mergeCell ref="F398:G398"/>
    <mergeCell ref="F399:G399"/>
    <mergeCell ref="F403:G403"/>
    <mergeCell ref="F404:G404"/>
    <mergeCell ref="F405:G405"/>
    <mergeCell ref="F406:G406"/>
    <mergeCell ref="F392:G392"/>
    <mergeCell ref="F393:G393"/>
    <mergeCell ref="F394:G394"/>
    <mergeCell ref="F395:G395"/>
    <mergeCell ref="F396:G396"/>
    <mergeCell ref="F397:G397"/>
    <mergeCell ref="F380:G380"/>
    <mergeCell ref="F384:G384"/>
    <mergeCell ref="F385:G385"/>
    <mergeCell ref="F386:G386"/>
    <mergeCell ref="F387:G387"/>
    <mergeCell ref="F391:G391"/>
    <mergeCell ref="F371:G371"/>
    <mergeCell ref="F372:G372"/>
    <mergeCell ref="F373:G373"/>
    <mergeCell ref="F377:G377"/>
    <mergeCell ref="F378:G378"/>
    <mergeCell ref="F379:G379"/>
    <mergeCell ref="F362:G362"/>
    <mergeCell ref="F363:G363"/>
    <mergeCell ref="F364:G364"/>
    <mergeCell ref="F365:G365"/>
    <mergeCell ref="F366:G366"/>
    <mergeCell ref="F370:G370"/>
    <mergeCell ref="F350:G350"/>
    <mergeCell ref="F354:G354"/>
    <mergeCell ref="F355:G355"/>
    <mergeCell ref="F356:G356"/>
    <mergeCell ref="F360:G360"/>
    <mergeCell ref="F361:G361"/>
    <mergeCell ref="F341:G341"/>
    <mergeCell ref="F342:G342"/>
    <mergeCell ref="F343:G343"/>
    <mergeCell ref="F347:G347"/>
    <mergeCell ref="F348:G348"/>
    <mergeCell ref="F349:G349"/>
    <mergeCell ref="F329:G329"/>
    <mergeCell ref="F333:G333"/>
    <mergeCell ref="F334:G334"/>
    <mergeCell ref="F335:G335"/>
    <mergeCell ref="F336:G336"/>
    <mergeCell ref="F340:G340"/>
    <mergeCell ref="F320:G320"/>
    <mergeCell ref="F321:G321"/>
    <mergeCell ref="F322:G322"/>
    <mergeCell ref="F326:G326"/>
    <mergeCell ref="F327:G327"/>
    <mergeCell ref="F328:G328"/>
    <mergeCell ref="F308:G308"/>
    <mergeCell ref="F312:G312"/>
    <mergeCell ref="F313:G313"/>
    <mergeCell ref="F314:G314"/>
    <mergeCell ref="F315:G315"/>
    <mergeCell ref="F319:G319"/>
    <mergeCell ref="F299:G299"/>
    <mergeCell ref="F300:G300"/>
    <mergeCell ref="F304:G304"/>
    <mergeCell ref="F305:G305"/>
    <mergeCell ref="F306:G306"/>
    <mergeCell ref="F307:G307"/>
    <mergeCell ref="F287:G287"/>
    <mergeCell ref="F291:G291"/>
    <mergeCell ref="F292:G292"/>
    <mergeCell ref="F293:G293"/>
    <mergeCell ref="F297:G297"/>
    <mergeCell ref="F298:G298"/>
    <mergeCell ref="F278:G278"/>
    <mergeCell ref="F279:G279"/>
    <mergeCell ref="F280:G280"/>
    <mergeCell ref="F281:G281"/>
    <mergeCell ref="F285:G285"/>
    <mergeCell ref="F286:G286"/>
    <mergeCell ref="F263:G263"/>
    <mergeCell ref="F264:G264"/>
    <mergeCell ref="F268:G268"/>
    <mergeCell ref="F269:G269"/>
    <mergeCell ref="F273:G273"/>
    <mergeCell ref="F274:G274"/>
    <mergeCell ref="F254:G254"/>
    <mergeCell ref="F258:G258"/>
    <mergeCell ref="F259:G259"/>
    <mergeCell ref="F260:G260"/>
    <mergeCell ref="F261:G261"/>
    <mergeCell ref="F262:G262"/>
    <mergeCell ref="F245:G245"/>
    <mergeCell ref="F246:G246"/>
    <mergeCell ref="F247:G247"/>
    <mergeCell ref="F251:G251"/>
    <mergeCell ref="F252:G252"/>
    <mergeCell ref="F253:G253"/>
    <mergeCell ref="F233:G233"/>
    <mergeCell ref="F237:G237"/>
    <mergeCell ref="F238:G238"/>
    <mergeCell ref="F239:G239"/>
    <mergeCell ref="F240:G240"/>
    <mergeCell ref="F244:G244"/>
    <mergeCell ref="F221:G221"/>
    <mergeCell ref="F225:G225"/>
    <mergeCell ref="F226:G226"/>
    <mergeCell ref="F227:G227"/>
    <mergeCell ref="F231:G231"/>
    <mergeCell ref="F232:G232"/>
    <mergeCell ref="F212:G212"/>
    <mergeCell ref="F213:G213"/>
    <mergeCell ref="F214:G214"/>
    <mergeCell ref="F218:G218"/>
    <mergeCell ref="F219:G219"/>
    <mergeCell ref="F220:G220"/>
    <mergeCell ref="F200:G200"/>
    <mergeCell ref="F204:G204"/>
    <mergeCell ref="F205:G205"/>
    <mergeCell ref="F206:G206"/>
    <mergeCell ref="F207:G207"/>
    <mergeCell ref="F208:G208"/>
    <mergeCell ref="F192:G192"/>
    <mergeCell ref="F193:G193"/>
    <mergeCell ref="F194:G194"/>
    <mergeCell ref="F198:G198"/>
    <mergeCell ref="F199:G199"/>
    <mergeCell ref="F183:G183"/>
    <mergeCell ref="F184:G184"/>
    <mergeCell ref="F185:G185"/>
    <mergeCell ref="F186:G186"/>
    <mergeCell ref="F187:G187"/>
    <mergeCell ref="F191:G191"/>
    <mergeCell ref="F171:G171"/>
    <mergeCell ref="F172:G172"/>
    <mergeCell ref="F176:G176"/>
    <mergeCell ref="F177:G177"/>
    <mergeCell ref="F178:G178"/>
    <mergeCell ref="F179:G179"/>
    <mergeCell ref="F159:G159"/>
    <mergeCell ref="F160:G160"/>
    <mergeCell ref="F164:G164"/>
    <mergeCell ref="F165:G165"/>
    <mergeCell ref="F166:G166"/>
    <mergeCell ref="F170:G170"/>
    <mergeCell ref="F150:G150"/>
    <mergeCell ref="F151:G151"/>
    <mergeCell ref="F152:G152"/>
    <mergeCell ref="F153:G153"/>
    <mergeCell ref="F154:G154"/>
    <mergeCell ref="F158:G158"/>
    <mergeCell ref="F138:G138"/>
    <mergeCell ref="F139:G139"/>
    <mergeCell ref="F140:G140"/>
    <mergeCell ref="F144:G144"/>
    <mergeCell ref="F145:G145"/>
    <mergeCell ref="F149:G149"/>
    <mergeCell ref="F123:G123"/>
    <mergeCell ref="F127:G127"/>
    <mergeCell ref="F128:G128"/>
    <mergeCell ref="F132:G132"/>
    <mergeCell ref="F133:G133"/>
    <mergeCell ref="F137:G137"/>
    <mergeCell ref="F112:G112"/>
    <mergeCell ref="F113:G113"/>
    <mergeCell ref="F117:G117"/>
    <mergeCell ref="F118:G118"/>
    <mergeCell ref="F122:G122"/>
    <mergeCell ref="F93:G93"/>
    <mergeCell ref="F97:G97"/>
    <mergeCell ref="F98:G98"/>
    <mergeCell ref="F102:G102"/>
    <mergeCell ref="F103:G103"/>
    <mergeCell ref="F107:G107"/>
    <mergeCell ref="F88:G88"/>
    <mergeCell ref="F92:G92"/>
    <mergeCell ref="F63:G63"/>
    <mergeCell ref="F67:G67"/>
    <mergeCell ref="F68:G68"/>
    <mergeCell ref="F72:G72"/>
    <mergeCell ref="F73:G73"/>
    <mergeCell ref="F77:G77"/>
    <mergeCell ref="F108:G108"/>
    <mergeCell ref="F46:G46"/>
    <mergeCell ref="F47:G47"/>
    <mergeCell ref="F48:G48"/>
    <mergeCell ref="F49:G49"/>
    <mergeCell ref="F50:G50"/>
    <mergeCell ref="F78:G78"/>
    <mergeCell ref="F82:G82"/>
    <mergeCell ref="F83:G83"/>
    <mergeCell ref="F87:G87"/>
    <mergeCell ref="F3:K3"/>
    <mergeCell ref="F1542:G1542"/>
    <mergeCell ref="F1543:G1543"/>
    <mergeCell ref="F30:G30"/>
    <mergeCell ref="F31:G31"/>
    <mergeCell ref="F32:G32"/>
    <mergeCell ref="F42:G42"/>
    <mergeCell ref="F488:G488"/>
    <mergeCell ref="F489:G489"/>
    <mergeCell ref="F496:G496"/>
    <mergeCell ref="F503:G503"/>
    <mergeCell ref="F510:G510"/>
    <mergeCell ref="F517:G517"/>
    <mergeCell ref="F524:G524"/>
    <mergeCell ref="F576:G576"/>
    <mergeCell ref="F507:G507"/>
    <mergeCell ref="F508:G508"/>
    <mergeCell ref="F509:G509"/>
    <mergeCell ref="F51:G51"/>
    <mergeCell ref="F52:G52"/>
    <mergeCell ref="F53:G53"/>
    <mergeCell ref="F57:G57"/>
    <mergeCell ref="F58:G58"/>
    <mergeCell ref="F62:G62"/>
    <mergeCell ref="F534:G534"/>
    <mergeCell ref="F535:G535"/>
    <mergeCell ref="F536:G536"/>
    <mergeCell ref="A3:E3"/>
    <mergeCell ref="F10:G10"/>
    <mergeCell ref="F11:G11"/>
    <mergeCell ref="F12:G12"/>
    <mergeCell ref="F13:G13"/>
    <mergeCell ref="F14:G14"/>
    <mergeCell ref="F24:G24"/>
    <mergeCell ref="F28:G28"/>
    <mergeCell ref="F29:G29"/>
    <mergeCell ref="F15:G15"/>
    <mergeCell ref="F19:G19"/>
    <mergeCell ref="F20:G20"/>
    <mergeCell ref="F21:G21"/>
    <mergeCell ref="F22:G22"/>
    <mergeCell ref="F23:G23"/>
    <mergeCell ref="F33:G33"/>
    <mergeCell ref="F37:G37"/>
    <mergeCell ref="F38:G38"/>
    <mergeCell ref="F39:G39"/>
    <mergeCell ref="F40:G40"/>
    <mergeCell ref="F41:G41"/>
  </mergeCells>
  <pageMargins left="0.7" right="0.7" top="0.75" bottom="0.75" header="0.3" footer="0.3"/>
  <pageSetup paperSize="9" orientation="portrait" r:id="rId1"/>
  <ignoredErrors>
    <ignoredError sqref="D1542:D154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7</vt:i4>
      </vt:variant>
    </vt:vector>
  </HeadingPairs>
  <TitlesOfParts>
    <vt:vector size="17" baseType="lpstr">
      <vt:lpstr>RESUMO</vt:lpstr>
      <vt:lpstr>ORÇAMENTO</vt:lpstr>
      <vt:lpstr>CURVA ABC</vt:lpstr>
      <vt:lpstr>ADICIONAL NOTURNO</vt:lpstr>
      <vt:lpstr>CRONOGRAMA FISICO FINANCEIRO</vt:lpstr>
      <vt:lpstr>BDI </vt:lpstr>
      <vt:lpstr>BDIEQUIP.</vt:lpstr>
      <vt:lpstr>CPUE</vt:lpstr>
      <vt:lpstr>CPU SINAPI ND OBRA</vt:lpstr>
      <vt:lpstr>COMPOSIÇÃO DE ENCARGOS SOCIAIS</vt:lpstr>
      <vt:lpstr>'BDI '!Area_de_impressao</vt:lpstr>
      <vt:lpstr>'CRONOGRAMA FISICO FINANCEIRO'!Area_de_impressao</vt:lpstr>
      <vt:lpstr>ORÇAMENTO!Area_de_impressao</vt:lpstr>
      <vt:lpstr>RESUMO!Area_de_impressao</vt:lpstr>
      <vt:lpstr>'CRONOGRAMA FISICO FINANCEIRO'!Titulos_de_impressao</vt:lpstr>
      <vt:lpstr>ORÇAMENTO!Titulos_de_impressao</vt:lpstr>
      <vt:lpstr>RESUMO!Titulos_de_impressao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Flavio</dc:creator>
  <cp:lastModifiedBy>"11891"</cp:lastModifiedBy>
  <cp:lastPrinted>2021-12-13T20:52:02Z</cp:lastPrinted>
  <dcterms:created xsi:type="dcterms:W3CDTF">2019-10-23T22:43:55Z</dcterms:created>
  <dcterms:modified xsi:type="dcterms:W3CDTF">2022-11-22T15:53:35Z</dcterms:modified>
</cp:coreProperties>
</file>